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240" yWindow="240" windowWidth="25360" windowHeight="15280" tabRatio="705" activeTab="1"/>
  </bookViews>
  <sheets>
    <sheet name="Finale 12" sheetId="11" r:id="rId1"/>
    <sheet name="Finale 345" sheetId="10" r:id="rId2"/>
    <sheet name="Voorronde einstand" sheetId="9" r:id="rId3"/>
    <sheet name="Poule A 345" sheetId="1" r:id="rId4"/>
    <sheet name="Poule B 345" sheetId="3" r:id="rId5"/>
    <sheet name="Poule C 345" sheetId="4" r:id="rId6"/>
    <sheet name="Poule D 345" sheetId="5" r:id="rId7"/>
    <sheet name="Poule A 12" sheetId="6" r:id="rId8"/>
    <sheet name="Poule B 12" sheetId="7" r:id="rId9"/>
    <sheet name="Poule C 12" sheetId="8" r:id="rId10"/>
    <sheet name="Poule D 12" sheetId="2" r:id="rId1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1" l="1"/>
  <c r="G22" i="11"/>
  <c r="E9" i="10"/>
  <c r="F9" i="10"/>
  <c r="E9" i="11"/>
  <c r="F9" i="11"/>
  <c r="E8" i="11"/>
  <c r="F8" i="11"/>
  <c r="E7" i="11"/>
  <c r="F7" i="11"/>
  <c r="E6" i="11"/>
  <c r="F6" i="11"/>
  <c r="G27" i="11"/>
  <c r="F27" i="11"/>
  <c r="G25" i="11"/>
  <c r="F25" i="11"/>
  <c r="G23" i="11"/>
  <c r="F23" i="11"/>
  <c r="G20" i="11"/>
  <c r="F20" i="11"/>
  <c r="G19" i="11"/>
  <c r="F19" i="11"/>
  <c r="G18" i="11"/>
  <c r="F18" i="11"/>
  <c r="G17" i="11"/>
  <c r="F17" i="11"/>
  <c r="E8" i="10"/>
  <c r="F8" i="10"/>
  <c r="E7" i="10"/>
  <c r="F7" i="10"/>
  <c r="E6" i="10"/>
  <c r="F6" i="10"/>
  <c r="F25" i="10"/>
  <c r="G25" i="10"/>
  <c r="F23" i="10"/>
  <c r="G23" i="10"/>
  <c r="G27" i="10"/>
  <c r="F27" i="10"/>
  <c r="G22" i="10"/>
  <c r="F22" i="10"/>
  <c r="G20" i="10"/>
  <c r="F20" i="10"/>
  <c r="G19" i="10"/>
  <c r="F19" i="10"/>
  <c r="G18" i="10"/>
  <c r="F18" i="10"/>
  <c r="G17" i="10"/>
  <c r="F17" i="10"/>
  <c r="I17" i="5"/>
  <c r="H16" i="5"/>
  <c r="I15" i="5"/>
  <c r="I14" i="5"/>
  <c r="I13" i="5"/>
  <c r="H12" i="5"/>
  <c r="H23" i="8"/>
  <c r="H22" i="8"/>
  <c r="H21" i="8"/>
  <c r="H20" i="8"/>
  <c r="I17" i="8"/>
  <c r="I16" i="8"/>
  <c r="I15" i="8"/>
  <c r="H14" i="8"/>
  <c r="I13" i="8"/>
  <c r="I12" i="8"/>
  <c r="F23" i="8"/>
  <c r="G23" i="8"/>
  <c r="K23" i="8"/>
  <c r="I23" i="8"/>
  <c r="J23" i="8"/>
  <c r="F22" i="8"/>
  <c r="G22" i="8"/>
  <c r="K22" i="8"/>
  <c r="I22" i="8"/>
  <c r="J22" i="8"/>
  <c r="F21" i="8"/>
  <c r="G21" i="8"/>
  <c r="K21" i="8"/>
  <c r="I21" i="8"/>
  <c r="J21" i="8"/>
  <c r="F20" i="8"/>
  <c r="G20" i="8"/>
  <c r="K20" i="8"/>
  <c r="I20" i="8"/>
  <c r="J20" i="8"/>
  <c r="H9" i="8"/>
  <c r="H8" i="8"/>
  <c r="H7" i="8"/>
  <c r="H6" i="8"/>
  <c r="H22" i="7"/>
  <c r="H21" i="7"/>
  <c r="H20" i="7"/>
  <c r="H17" i="7"/>
  <c r="H16" i="7"/>
  <c r="H15" i="7"/>
  <c r="H14" i="7"/>
  <c r="H13" i="7"/>
  <c r="I12" i="7"/>
  <c r="F23" i="7"/>
  <c r="G23" i="7"/>
  <c r="K23" i="7"/>
  <c r="H23" i="7"/>
  <c r="I23" i="7"/>
  <c r="J23" i="7"/>
  <c r="F22" i="7"/>
  <c r="G22" i="7"/>
  <c r="K22" i="7"/>
  <c r="I22" i="7"/>
  <c r="J22" i="7"/>
  <c r="F21" i="7"/>
  <c r="G21" i="7"/>
  <c r="K21" i="7"/>
  <c r="I21" i="7"/>
  <c r="J21" i="7"/>
  <c r="F20" i="7"/>
  <c r="G20" i="7"/>
  <c r="K20" i="7"/>
  <c r="I20" i="7"/>
  <c r="J20" i="7"/>
  <c r="H9" i="7"/>
  <c r="H8" i="7"/>
  <c r="H7" i="7"/>
  <c r="H6" i="7"/>
  <c r="H23" i="6"/>
  <c r="H21" i="6"/>
  <c r="H20" i="6"/>
  <c r="H17" i="6"/>
  <c r="I16" i="6"/>
  <c r="H15" i="6"/>
  <c r="H14" i="6"/>
  <c r="H13" i="6"/>
  <c r="I12" i="6"/>
  <c r="F23" i="6"/>
  <c r="G23" i="6"/>
  <c r="K23" i="6"/>
  <c r="I23" i="6"/>
  <c r="J23" i="6"/>
  <c r="B23" i="6"/>
  <c r="F22" i="6"/>
  <c r="G22" i="6"/>
  <c r="K22" i="6"/>
  <c r="H22" i="6"/>
  <c r="I22" i="6"/>
  <c r="J22" i="6"/>
  <c r="B22" i="6"/>
  <c r="F21" i="6"/>
  <c r="G21" i="6"/>
  <c r="K21" i="6"/>
  <c r="I21" i="6"/>
  <c r="J21" i="6"/>
  <c r="F20" i="6"/>
  <c r="G20" i="6"/>
  <c r="K20" i="6"/>
  <c r="I20" i="6"/>
  <c r="J20" i="6"/>
  <c r="H9" i="6"/>
  <c r="H8" i="6"/>
  <c r="H7" i="6"/>
  <c r="H6" i="6"/>
  <c r="F23" i="5"/>
  <c r="K23" i="5"/>
  <c r="G23" i="5"/>
  <c r="H23" i="5"/>
  <c r="B23" i="5"/>
  <c r="F22" i="5"/>
  <c r="K22" i="5"/>
  <c r="G22" i="5"/>
  <c r="H22" i="5"/>
  <c r="B22" i="5"/>
  <c r="F21" i="5"/>
  <c r="K21" i="5"/>
  <c r="G21" i="5"/>
  <c r="H21" i="5"/>
  <c r="B21" i="5"/>
  <c r="F20" i="5"/>
  <c r="K20" i="5"/>
  <c r="G20" i="5"/>
  <c r="H20" i="5"/>
  <c r="B20" i="5"/>
  <c r="H9" i="5"/>
  <c r="H8" i="5"/>
  <c r="H7" i="5"/>
  <c r="H6" i="5"/>
  <c r="H23" i="4"/>
  <c r="I23" i="4"/>
  <c r="J23" i="4"/>
  <c r="H22" i="4"/>
  <c r="I22" i="4"/>
  <c r="J22" i="4"/>
  <c r="H21" i="4"/>
  <c r="I21" i="4"/>
  <c r="J21" i="4"/>
  <c r="H20" i="4"/>
  <c r="H17" i="4"/>
  <c r="H16" i="4"/>
  <c r="H14" i="4"/>
  <c r="H13" i="4"/>
  <c r="H15" i="4"/>
  <c r="H12" i="4"/>
  <c r="F23" i="4"/>
  <c r="G23" i="4"/>
  <c r="K23" i="4"/>
  <c r="B23" i="4"/>
  <c r="F22" i="4"/>
  <c r="G22" i="4"/>
  <c r="K22" i="4"/>
  <c r="B22" i="4"/>
  <c r="F21" i="4"/>
  <c r="G21" i="4"/>
  <c r="K21" i="4"/>
  <c r="B21" i="4"/>
  <c r="F20" i="4"/>
  <c r="G20" i="4"/>
  <c r="K20" i="4"/>
  <c r="I20" i="4"/>
  <c r="J20" i="4"/>
  <c r="B20" i="4"/>
  <c r="H9" i="4"/>
  <c r="H8" i="4"/>
  <c r="H7" i="4"/>
  <c r="H6" i="4"/>
  <c r="H22" i="3"/>
  <c r="H21" i="3"/>
  <c r="G20" i="3"/>
  <c r="B23" i="3"/>
  <c r="B22" i="3"/>
  <c r="B21" i="3"/>
  <c r="B20" i="3"/>
  <c r="I17" i="3"/>
  <c r="I16" i="3"/>
  <c r="I15" i="3"/>
  <c r="I14" i="3"/>
  <c r="I13" i="3"/>
  <c r="I12" i="3"/>
  <c r="H12" i="3"/>
  <c r="F23" i="3"/>
  <c r="G23" i="3"/>
  <c r="K23" i="3"/>
  <c r="H23" i="3"/>
  <c r="I23" i="3"/>
  <c r="J23" i="3"/>
  <c r="F22" i="3"/>
  <c r="G22" i="3"/>
  <c r="K22" i="3"/>
  <c r="I22" i="3"/>
  <c r="J22" i="3"/>
  <c r="F21" i="3"/>
  <c r="G21" i="3"/>
  <c r="K21" i="3"/>
  <c r="I21" i="3"/>
  <c r="J21" i="3"/>
  <c r="F20" i="3"/>
  <c r="K20" i="3"/>
  <c r="H20" i="3"/>
  <c r="I20" i="3"/>
  <c r="J20" i="3"/>
  <c r="H9" i="3"/>
  <c r="H8" i="3"/>
  <c r="H7" i="3"/>
  <c r="H6" i="3"/>
  <c r="H23" i="1"/>
  <c r="F21" i="1"/>
  <c r="H21" i="1"/>
  <c r="I21" i="1"/>
  <c r="F22" i="1"/>
  <c r="H22" i="1"/>
  <c r="I22" i="1"/>
  <c r="F23" i="1"/>
  <c r="I23" i="1"/>
  <c r="F21" i="2"/>
  <c r="H21" i="2"/>
  <c r="I21" i="2"/>
  <c r="F22" i="2"/>
  <c r="H22" i="2"/>
  <c r="I22" i="2"/>
  <c r="F23" i="2"/>
  <c r="H23" i="2"/>
  <c r="I23" i="2"/>
  <c r="F20" i="1"/>
  <c r="H20" i="1"/>
  <c r="I20" i="1"/>
  <c r="F20" i="2"/>
  <c r="H20" i="2"/>
  <c r="I20" i="2"/>
  <c r="H16" i="1"/>
  <c r="I15" i="1"/>
  <c r="H14" i="1"/>
  <c r="H13" i="1"/>
  <c r="I12" i="1"/>
  <c r="H7" i="1"/>
  <c r="H8" i="1"/>
  <c r="H9" i="1"/>
  <c r="H6" i="1"/>
  <c r="G23" i="1"/>
  <c r="K23" i="1"/>
  <c r="J23" i="1"/>
  <c r="G22" i="1"/>
  <c r="K22" i="1"/>
  <c r="J22" i="1"/>
  <c r="G21" i="1"/>
  <c r="K21" i="1"/>
  <c r="J21" i="1"/>
  <c r="G20" i="1"/>
  <c r="K20" i="1"/>
  <c r="J20" i="1"/>
  <c r="G23" i="2"/>
  <c r="J23" i="2"/>
  <c r="G22" i="2"/>
  <c r="J22" i="2"/>
  <c r="G21" i="2"/>
  <c r="J21" i="2"/>
  <c r="G20" i="2"/>
  <c r="J20" i="2"/>
  <c r="K21" i="2"/>
  <c r="K22" i="2"/>
  <c r="K23" i="2"/>
  <c r="K20" i="2"/>
  <c r="H7" i="2"/>
  <c r="H8" i="2"/>
  <c r="H9" i="2"/>
  <c r="H6" i="2"/>
  <c r="I17" i="2"/>
  <c r="H17" i="2"/>
  <c r="I16" i="2"/>
  <c r="H16" i="2"/>
  <c r="I15" i="2"/>
  <c r="H15" i="2"/>
  <c r="I14" i="2"/>
  <c r="H14" i="2"/>
  <c r="I13" i="2"/>
  <c r="H13" i="2"/>
  <c r="I12" i="2"/>
  <c r="H12" i="2"/>
  <c r="I23" i="5"/>
  <c r="J23" i="5"/>
  <c r="I22" i="5"/>
  <c r="J22" i="5"/>
  <c r="I21" i="5"/>
  <c r="J21" i="5"/>
  <c r="I20" i="5"/>
  <c r="J20" i="5"/>
</calcChain>
</file>

<file path=xl/sharedStrings.xml><?xml version="1.0" encoding="utf-8"?>
<sst xmlns="http://schemas.openxmlformats.org/spreadsheetml/2006/main" count="590" uniqueCount="148">
  <si>
    <t>Open PK Libre DRV</t>
  </si>
  <si>
    <t>Voorronde</t>
  </si>
  <si>
    <t>Voornaam</t>
  </si>
  <si>
    <t>Achternaam</t>
  </si>
  <si>
    <t>Moy</t>
  </si>
  <si>
    <t>Martijn</t>
  </si>
  <si>
    <t>van den Bos</t>
  </si>
  <si>
    <t>Peter</t>
  </si>
  <si>
    <t>Stam</t>
  </si>
  <si>
    <t>Ray</t>
  </si>
  <si>
    <t>Kramer</t>
  </si>
  <si>
    <t>Robert</t>
  </si>
  <si>
    <t>Daalhuizen</t>
  </si>
  <si>
    <t>Wedstrijden</t>
  </si>
  <si>
    <t>Te</t>
  </si>
  <si>
    <t>maken</t>
  </si>
  <si>
    <t>Gemaakt</t>
  </si>
  <si>
    <t>Punten</t>
  </si>
  <si>
    <t>Car%</t>
  </si>
  <si>
    <t>Behaalde punten</t>
  </si>
  <si>
    <t>W1</t>
  </si>
  <si>
    <t>W2</t>
  </si>
  <si>
    <t>W3</t>
  </si>
  <si>
    <t>Tot</t>
  </si>
  <si>
    <t>Poule A 345 ster</t>
  </si>
  <si>
    <t>Rang</t>
  </si>
  <si>
    <t>Brt</t>
  </si>
  <si>
    <t>Betty</t>
  </si>
  <si>
    <t>Evert</t>
  </si>
  <si>
    <t>Driehuis</t>
  </si>
  <si>
    <t>Joost</t>
  </si>
  <si>
    <t>van Zuijlen</t>
  </si>
  <si>
    <t>Lucia</t>
  </si>
  <si>
    <t>Burger</t>
  </si>
  <si>
    <t>van der Mars</t>
  </si>
  <si>
    <t>Poule D 12 ster</t>
  </si>
  <si>
    <t>Moy%</t>
  </si>
  <si>
    <t>Op</t>
  </si>
  <si>
    <t>Moy.</t>
  </si>
  <si>
    <t>Naam</t>
  </si>
  <si>
    <t xml:space="preserve">Dorus </t>
  </si>
  <si>
    <t>van der Meer</t>
  </si>
  <si>
    <t xml:space="preserve">Erik </t>
  </si>
  <si>
    <t>Spiering</t>
  </si>
  <si>
    <t>Piet</t>
  </si>
  <si>
    <t>Best</t>
  </si>
  <si>
    <t>Richard</t>
  </si>
  <si>
    <t>van Kolck</t>
  </si>
  <si>
    <t>Erik</t>
  </si>
  <si>
    <t>Dorus</t>
  </si>
  <si>
    <t xml:space="preserve"> </t>
  </si>
  <si>
    <t>Henk</t>
  </si>
  <si>
    <t>Doornekamp</t>
  </si>
  <si>
    <t>John</t>
  </si>
  <si>
    <t>Vrielink</t>
  </si>
  <si>
    <t xml:space="preserve">Sander </t>
  </si>
  <si>
    <t>Pater</t>
  </si>
  <si>
    <t>Walter</t>
  </si>
  <si>
    <t>van Kouwen</t>
  </si>
  <si>
    <t>Sander</t>
  </si>
  <si>
    <t>Anne</t>
  </si>
  <si>
    <t>Beeker</t>
  </si>
  <si>
    <t xml:space="preserve">Bart </t>
  </si>
  <si>
    <t>Brouwer</t>
  </si>
  <si>
    <t>Chas</t>
  </si>
  <si>
    <t>Jans</t>
  </si>
  <si>
    <t>de Leeuw</t>
  </si>
  <si>
    <t>Jan</t>
  </si>
  <si>
    <t>Koridon</t>
  </si>
  <si>
    <t>de Jong</t>
  </si>
  <si>
    <t>Nick</t>
  </si>
  <si>
    <t>v/d Veerdonk</t>
  </si>
  <si>
    <t>Yoeri</t>
  </si>
  <si>
    <t>Veeken</t>
  </si>
  <si>
    <t xml:space="preserve">Jan K </t>
  </si>
  <si>
    <t>Jan J</t>
  </si>
  <si>
    <t>Jan K</t>
  </si>
  <si>
    <t>Bart</t>
  </si>
  <si>
    <t>Dirks</t>
  </si>
  <si>
    <t>Bob</t>
  </si>
  <si>
    <t xml:space="preserve">Caty </t>
  </si>
  <si>
    <t>Jansen</t>
  </si>
  <si>
    <t>Roos</t>
  </si>
  <si>
    <t>Aarsman</t>
  </si>
  <si>
    <t>Caty</t>
  </si>
  <si>
    <t>Hans</t>
  </si>
  <si>
    <t>Bak</t>
  </si>
  <si>
    <t>Manolis</t>
  </si>
  <si>
    <t>Nikolidakes</t>
  </si>
  <si>
    <t>Sjaak</t>
  </si>
  <si>
    <t>den Haan</t>
  </si>
  <si>
    <t>Wim</t>
  </si>
  <si>
    <t>Berkelaar</t>
  </si>
  <si>
    <t>Jacques</t>
  </si>
  <si>
    <t>Door naar de finaledag:</t>
  </si>
  <si>
    <t>1.</t>
  </si>
  <si>
    <t>Jacques de Leeuw</t>
  </si>
  <si>
    <t>2.</t>
  </si>
  <si>
    <t>Anne Beeker</t>
  </si>
  <si>
    <t>Ray Kramer</t>
  </si>
  <si>
    <t>Martijn van den Bos</t>
  </si>
  <si>
    <t>Piet Best</t>
  </si>
  <si>
    <t>Erik Spiering</t>
  </si>
  <si>
    <t>Sander Pater</t>
  </si>
  <si>
    <t>Henk Doornekamp</t>
  </si>
  <si>
    <t>Yoeri Veeken</t>
  </si>
  <si>
    <t>Nick v/d Veerdonk</t>
  </si>
  <si>
    <t>Roos Aarsman</t>
  </si>
  <si>
    <t>Caty Jansen</t>
  </si>
  <si>
    <t>Manolis Nikodolidis</t>
  </si>
  <si>
    <t>Hans Bak</t>
  </si>
  <si>
    <t>Evert Driehuis</t>
  </si>
  <si>
    <t>Lucia Burger</t>
  </si>
  <si>
    <t>345 ster</t>
  </si>
  <si>
    <t>poule rangorde</t>
  </si>
  <si>
    <t>punten</t>
  </si>
  <si>
    <t>moyenne %</t>
  </si>
  <si>
    <t>12 ster</t>
  </si>
  <si>
    <t>Peter Stam</t>
  </si>
  <si>
    <t>Robert Daalhuizen</t>
  </si>
  <si>
    <t>Richard van Kolck</t>
  </si>
  <si>
    <t>Dorus v/d Meer</t>
  </si>
  <si>
    <t>John Vrielink</t>
  </si>
  <si>
    <t>Walter van Kouwen</t>
  </si>
  <si>
    <t>Chas Jans</t>
  </si>
  <si>
    <t>Bart Brouwer</t>
  </si>
  <si>
    <t>Jan Koridon</t>
  </si>
  <si>
    <t>Jan de Jong</t>
  </si>
  <si>
    <t>Bart Dirks</t>
  </si>
  <si>
    <t>Bob van Kolck</t>
  </si>
  <si>
    <t>Sjaak den Haan</t>
  </si>
  <si>
    <t>Wim Berkelaar</t>
  </si>
  <si>
    <t>Joost van Zuijlen</t>
  </si>
  <si>
    <t>Betty v/d Mars</t>
  </si>
  <si>
    <t>Finale</t>
  </si>
  <si>
    <t>Moyenne</t>
  </si>
  <si>
    <t>Finale Moyenne</t>
  </si>
  <si>
    <t>Nikodolidis</t>
  </si>
  <si>
    <t xml:space="preserve"> v/d Veerdonk</t>
  </si>
  <si>
    <t>te maken</t>
  </si>
  <si>
    <t>Moyenne %</t>
  </si>
  <si>
    <t>Om plaats 3</t>
  </si>
  <si>
    <t>Kwart finales</t>
  </si>
  <si>
    <t>Halve finales</t>
  </si>
  <si>
    <t>Open PK Libre DRV - seizoen2022-2023</t>
  </si>
  <si>
    <t>Open PK Libre DRV - seizoen 2022-2023</t>
  </si>
  <si>
    <r>
      <t xml:space="preserve">Uitslag Voorronde PK </t>
    </r>
    <r>
      <rPr>
        <b/>
        <sz val="14"/>
        <color theme="1"/>
        <rFont val="Calibri"/>
        <scheme val="minor"/>
      </rPr>
      <t xml:space="preserve">Libre </t>
    </r>
    <r>
      <rPr>
        <b/>
        <sz val="14"/>
        <color theme="1"/>
        <rFont val="Calibri"/>
        <family val="2"/>
        <scheme val="minor"/>
      </rPr>
      <t>2022-2023</t>
    </r>
  </si>
  <si>
    <t>Poule A 12 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</si>
</sst>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5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  <xf numFmtId="9" fontId="2" fillId="0" borderId="1" xfId="3" applyFont="1" applyBorder="1" applyAlignment="1">
      <alignment horizontal="center"/>
    </xf>
    <xf numFmtId="9" fontId="7" fillId="0" borderId="1" xfId="3" applyFont="1" applyBorder="1" applyAlignment="1">
      <alignment horizontal="center"/>
    </xf>
    <xf numFmtId="9" fontId="8" fillId="0" borderId="1" xfId="3" applyFont="1" applyBorder="1" applyAlignment="1">
      <alignment horizontal="center"/>
    </xf>
    <xf numFmtId="0" fontId="8" fillId="0" borderId="4" xfId="0" applyFont="1" applyBorder="1"/>
    <xf numFmtId="0" fontId="8" fillId="0" borderId="0" xfId="0" applyFont="1"/>
    <xf numFmtId="0" fontId="9" fillId="0" borderId="0" xfId="0" applyFont="1"/>
    <xf numFmtId="0" fontId="0" fillId="0" borderId="5" xfId="0" applyBorder="1"/>
    <xf numFmtId="0" fontId="8" fillId="0" borderId="6" xfId="0" applyFont="1" applyBorder="1"/>
    <xf numFmtId="0" fontId="8" fillId="0" borderId="7" xfId="0" applyFont="1" applyBorder="1"/>
    <xf numFmtId="0" fontId="9" fillId="0" borderId="7" xfId="0" applyFont="1" applyBorder="1"/>
    <xf numFmtId="0" fontId="0" fillId="0" borderId="8" xfId="0" applyBorder="1"/>
    <xf numFmtId="0" fontId="8" fillId="0" borderId="2" xfId="0" applyFont="1" applyBorder="1"/>
    <xf numFmtId="0" fontId="3" fillId="0" borderId="9" xfId="0" applyFont="1" applyBorder="1"/>
    <xf numFmtId="0" fontId="0" fillId="0" borderId="9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9" fillId="2" borderId="1" xfId="0" applyFont="1" applyFill="1" applyBorder="1"/>
    <xf numFmtId="9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 wrapText="1"/>
    </xf>
    <xf numFmtId="164" fontId="3" fillId="0" borderId="1" xfId="3" applyNumberFormat="1" applyFont="1" applyBorder="1" applyAlignment="1">
      <alignment horizontal="center"/>
    </xf>
    <xf numFmtId="0" fontId="8" fillId="0" borderId="1" xfId="0" applyFont="1" applyBorder="1"/>
    <xf numFmtId="10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1" xfId="3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0">
    <cellStyle name="Gevolgde hyperlink" xfId="2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Hyperlink" xfId="1" builtinId="8" hidden="1"/>
    <cellStyle name="Hyperlink" xfId="4" builtinId="8" hidden="1"/>
    <cellStyle name="Hyperlink" xfId="6" builtinId="8" hidden="1"/>
    <cellStyle name="Hyperlink" xfId="8" builtinId="8" hidden="1"/>
    <cellStyle name="Normaal" xfId="0" builtinId="0"/>
    <cellStyle name="Pro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G27"/>
  <sheetViews>
    <sheetView workbookViewId="0">
      <selection activeCell="K20" sqref="K20"/>
    </sheetView>
  </sheetViews>
  <sheetFormatPr baseColWidth="10" defaultColWidth="10.83203125" defaultRowHeight="18" x14ac:dyDescent="0"/>
  <cols>
    <col min="1" max="1" width="19.5" style="2" bestFit="1" customWidth="1"/>
    <col min="2" max="2" width="14.83203125" style="2" bestFit="1" customWidth="1"/>
    <col min="3" max="3" width="10.33203125" style="3" customWidth="1"/>
    <col min="4" max="4" width="8.1640625" style="3" customWidth="1"/>
    <col min="5" max="5" width="10.83203125" style="3" customWidth="1"/>
    <col min="6" max="6" width="11" style="3" customWidth="1"/>
    <col min="7" max="7" width="8.6640625" style="2" customWidth="1"/>
    <col min="8" max="8" width="7.33203125" style="2" bestFit="1" customWidth="1"/>
    <col min="9" max="9" width="6.5" style="2" bestFit="1" customWidth="1"/>
    <col min="10" max="16384" width="10.83203125" style="2"/>
  </cols>
  <sheetData>
    <row r="1" spans="1:7">
      <c r="A1" s="15" t="s">
        <v>144</v>
      </c>
    </row>
    <row r="2" spans="1:7">
      <c r="A2" s="2" t="s">
        <v>134</v>
      </c>
      <c r="B2" s="4">
        <v>45059</v>
      </c>
    </row>
    <row r="3" spans="1:7">
      <c r="D3" s="2"/>
      <c r="E3" s="2"/>
      <c r="F3" s="2"/>
    </row>
    <row r="4" spans="1:7">
      <c r="A4" s="38" t="s">
        <v>117</v>
      </c>
      <c r="D4" s="2"/>
      <c r="E4" s="2"/>
      <c r="F4" s="2"/>
    </row>
    <row r="5" spans="1:7" ht="36">
      <c r="A5" s="5" t="s">
        <v>2</v>
      </c>
      <c r="B5" s="5" t="s">
        <v>3</v>
      </c>
      <c r="C5" s="40" t="s">
        <v>135</v>
      </c>
      <c r="D5" s="36" t="s">
        <v>139</v>
      </c>
      <c r="E5" s="36" t="s">
        <v>136</v>
      </c>
      <c r="F5" s="36" t="s">
        <v>140</v>
      </c>
      <c r="G5" s="6" t="s">
        <v>25</v>
      </c>
    </row>
    <row r="6" spans="1:7">
      <c r="A6" s="35" t="s">
        <v>87</v>
      </c>
      <c r="B6" s="8" t="s">
        <v>137</v>
      </c>
      <c r="C6" s="9">
        <v>1.2</v>
      </c>
      <c r="D6" s="7">
        <v>41</v>
      </c>
      <c r="E6" s="9">
        <f>SUM(C18+C22+C27)/SUM(E18+E22+E27)</f>
        <v>1.3666666666666667</v>
      </c>
      <c r="F6" s="39">
        <f>E6/C6</f>
        <v>1.1388888888888891</v>
      </c>
      <c r="G6" s="6">
        <v>1</v>
      </c>
    </row>
    <row r="7" spans="1:7">
      <c r="A7" s="35" t="s">
        <v>85</v>
      </c>
      <c r="B7" s="35" t="s">
        <v>86</v>
      </c>
      <c r="C7" s="7">
        <v>1.5880000000000001</v>
      </c>
      <c r="D7" s="7">
        <v>50</v>
      </c>
      <c r="E7" s="9">
        <f>SUM(C19+C23+D27)/SUM(E19+E23+E27)</f>
        <v>1.7195121951219512</v>
      </c>
      <c r="F7" s="39">
        <f t="shared" ref="F7:F9" si="0">E7/C7</f>
        <v>1.0828162437795661</v>
      </c>
      <c r="G7" s="6">
        <v>2</v>
      </c>
    </row>
    <row r="8" spans="1:7">
      <c r="A8" s="35" t="s">
        <v>72</v>
      </c>
      <c r="B8" s="35" t="s">
        <v>73</v>
      </c>
      <c r="C8" s="7">
        <v>1.2010000000000001</v>
      </c>
      <c r="D8" s="7">
        <v>41</v>
      </c>
      <c r="E8" s="9">
        <f>SUM(C17+D22+C25)/SUM(E17+E22+E25)</f>
        <v>1.4324324324324325</v>
      </c>
      <c r="F8" s="39">
        <f t="shared" si="0"/>
        <v>1.1926997772126831</v>
      </c>
      <c r="G8" s="6">
        <v>3</v>
      </c>
    </row>
    <row r="9" spans="1:7">
      <c r="A9" s="35" t="s">
        <v>70</v>
      </c>
      <c r="B9" s="8" t="s">
        <v>138</v>
      </c>
      <c r="C9" s="7">
        <v>1.2490000000000001</v>
      </c>
      <c r="D9" s="7">
        <v>41</v>
      </c>
      <c r="E9" s="9">
        <f>SUM(C20+D23+D25)/SUM(E20+E23+E25)</f>
        <v>1.1447368421052631</v>
      </c>
      <c r="F9" s="39">
        <f t="shared" si="0"/>
        <v>0.91652269183768054</v>
      </c>
      <c r="G9" s="6">
        <v>4</v>
      </c>
    </row>
    <row r="10" spans="1:7">
      <c r="A10" s="35" t="s">
        <v>28</v>
      </c>
      <c r="B10" s="35" t="s">
        <v>29</v>
      </c>
      <c r="C10" s="7">
        <v>1.1279999999999999</v>
      </c>
      <c r="D10" s="7">
        <v>41</v>
      </c>
      <c r="E10" s="9"/>
      <c r="F10" s="7"/>
      <c r="G10" s="6">
        <v>5</v>
      </c>
    </row>
    <row r="11" spans="1:7">
      <c r="A11" s="35" t="s">
        <v>82</v>
      </c>
      <c r="B11" s="35" t="s">
        <v>83</v>
      </c>
      <c r="C11" s="7">
        <v>0.98</v>
      </c>
      <c r="D11" s="7">
        <v>33</v>
      </c>
      <c r="E11" s="9"/>
      <c r="F11" s="7"/>
      <c r="G11" s="6">
        <v>5</v>
      </c>
    </row>
    <row r="12" spans="1:7">
      <c r="A12" s="35" t="s">
        <v>32</v>
      </c>
      <c r="B12" s="35" t="s">
        <v>33</v>
      </c>
      <c r="C12" s="7">
        <v>0.95499999999999996</v>
      </c>
      <c r="D12" s="7">
        <v>33</v>
      </c>
      <c r="E12" s="9"/>
      <c r="F12" s="7"/>
      <c r="G12" s="6">
        <v>5</v>
      </c>
    </row>
    <row r="13" spans="1:7">
      <c r="A13" s="35" t="s">
        <v>84</v>
      </c>
      <c r="B13" s="35" t="s">
        <v>81</v>
      </c>
      <c r="C13" s="7">
        <v>1.216</v>
      </c>
      <c r="D13" s="7">
        <v>41</v>
      </c>
      <c r="E13" s="9"/>
      <c r="F13" s="7"/>
      <c r="G13" s="6">
        <v>5</v>
      </c>
    </row>
    <row r="15" spans="1:7">
      <c r="A15" s="49" t="s">
        <v>13</v>
      </c>
      <c r="B15" s="50"/>
      <c r="C15" s="51" t="s">
        <v>16</v>
      </c>
      <c r="D15" s="52"/>
      <c r="E15" s="6" t="s">
        <v>26</v>
      </c>
      <c r="F15" s="53" t="s">
        <v>135</v>
      </c>
      <c r="G15" s="52"/>
    </row>
    <row r="16" spans="1:7">
      <c r="A16" s="48" t="s">
        <v>142</v>
      </c>
      <c r="B16" s="41"/>
      <c r="C16" s="42"/>
      <c r="D16" s="43"/>
      <c r="E16" s="44"/>
      <c r="F16" s="42"/>
      <c r="G16" s="43"/>
    </row>
    <row r="17" spans="1:7">
      <c r="A17" s="38" t="s">
        <v>72</v>
      </c>
      <c r="B17" s="35" t="s">
        <v>32</v>
      </c>
      <c r="C17" s="7">
        <v>41</v>
      </c>
      <c r="D17" s="7">
        <v>17</v>
      </c>
      <c r="E17" s="7">
        <v>19</v>
      </c>
      <c r="F17" s="37">
        <f>C17/E17</f>
        <v>2.1578947368421053</v>
      </c>
      <c r="G17" s="37">
        <f>D17/E17</f>
        <v>0.89473684210526316</v>
      </c>
    </row>
    <row r="18" spans="1:7">
      <c r="A18" s="38" t="s">
        <v>87</v>
      </c>
      <c r="B18" s="35" t="s">
        <v>84</v>
      </c>
      <c r="C18" s="7">
        <v>41</v>
      </c>
      <c r="D18" s="7">
        <v>32</v>
      </c>
      <c r="E18" s="7">
        <v>41</v>
      </c>
      <c r="F18" s="37">
        <f t="shared" ref="F18:F27" si="1">C18/E18</f>
        <v>1</v>
      </c>
      <c r="G18" s="37">
        <f t="shared" ref="G18:G27" si="2">D18/E18</f>
        <v>0.78048780487804881</v>
      </c>
    </row>
    <row r="19" spans="1:7">
      <c r="A19" s="38" t="s">
        <v>85</v>
      </c>
      <c r="B19" s="35" t="s">
        <v>82</v>
      </c>
      <c r="C19" s="7">
        <v>50</v>
      </c>
      <c r="D19" s="7">
        <v>21</v>
      </c>
      <c r="E19" s="7">
        <v>32</v>
      </c>
      <c r="F19" s="37">
        <f t="shared" si="1"/>
        <v>1.5625</v>
      </c>
      <c r="G19" s="37">
        <f t="shared" si="2"/>
        <v>0.65625</v>
      </c>
    </row>
    <row r="20" spans="1:7">
      <c r="A20" s="38" t="s">
        <v>70</v>
      </c>
      <c r="B20" s="35" t="s">
        <v>28</v>
      </c>
      <c r="C20" s="7">
        <v>41</v>
      </c>
      <c r="D20" s="7">
        <v>38</v>
      </c>
      <c r="E20" s="7">
        <v>20</v>
      </c>
      <c r="F20" s="37">
        <f t="shared" si="1"/>
        <v>2.0499999999999998</v>
      </c>
      <c r="G20" s="37">
        <f t="shared" si="2"/>
        <v>1.9</v>
      </c>
    </row>
    <row r="21" spans="1:7">
      <c r="A21" s="48" t="s">
        <v>143</v>
      </c>
      <c r="B21" s="41"/>
      <c r="C21" s="42"/>
      <c r="D21" s="43"/>
      <c r="E21" s="44"/>
      <c r="F21" s="42"/>
      <c r="G21" s="43"/>
    </row>
    <row r="22" spans="1:7">
      <c r="A22" s="38" t="s">
        <v>87</v>
      </c>
      <c r="B22" s="35" t="s">
        <v>72</v>
      </c>
      <c r="C22" s="7">
        <v>41</v>
      </c>
      <c r="D22" s="7">
        <v>24</v>
      </c>
      <c r="E22" s="7">
        <v>23</v>
      </c>
      <c r="F22" s="37">
        <f t="shared" si="1"/>
        <v>1.7826086956521738</v>
      </c>
      <c r="G22" s="37">
        <f t="shared" si="2"/>
        <v>1.0434782608695652</v>
      </c>
    </row>
    <row r="23" spans="1:7">
      <c r="A23" s="38" t="s">
        <v>85</v>
      </c>
      <c r="B23" s="35" t="s">
        <v>70</v>
      </c>
      <c r="C23" s="7">
        <v>50</v>
      </c>
      <c r="D23" s="7">
        <v>19</v>
      </c>
      <c r="E23" s="7">
        <v>24</v>
      </c>
      <c r="F23" s="37">
        <f t="shared" si="1"/>
        <v>2.0833333333333335</v>
      </c>
      <c r="G23" s="37">
        <f t="shared" si="2"/>
        <v>0.79166666666666663</v>
      </c>
    </row>
    <row r="24" spans="1:7">
      <c r="A24" s="48" t="s">
        <v>141</v>
      </c>
      <c r="B24" s="45"/>
      <c r="C24" s="46"/>
      <c r="D24" s="46"/>
      <c r="E24" s="46"/>
      <c r="F24" s="47"/>
      <c r="G24" s="47"/>
    </row>
    <row r="25" spans="1:7">
      <c r="A25" s="38" t="s">
        <v>72</v>
      </c>
      <c r="B25" s="35" t="s">
        <v>70</v>
      </c>
      <c r="C25" s="7">
        <v>41</v>
      </c>
      <c r="D25" s="7">
        <v>27</v>
      </c>
      <c r="E25" s="7">
        <v>32</v>
      </c>
      <c r="F25" s="37">
        <f t="shared" si="1"/>
        <v>1.28125</v>
      </c>
      <c r="G25" s="37">
        <f t="shared" si="2"/>
        <v>0.84375</v>
      </c>
    </row>
    <row r="26" spans="1:7">
      <c r="A26" s="48" t="s">
        <v>134</v>
      </c>
      <c r="B26" s="45"/>
      <c r="C26" s="46"/>
      <c r="D26" s="46"/>
      <c r="E26" s="46"/>
      <c r="F26" s="47"/>
      <c r="G26" s="47"/>
    </row>
    <row r="27" spans="1:7">
      <c r="A27" s="38" t="s">
        <v>87</v>
      </c>
      <c r="B27" s="35" t="s">
        <v>85</v>
      </c>
      <c r="C27" s="7">
        <v>41</v>
      </c>
      <c r="D27" s="7">
        <v>41</v>
      </c>
      <c r="E27" s="7">
        <v>26</v>
      </c>
      <c r="F27" s="37">
        <f t="shared" si="1"/>
        <v>1.5769230769230769</v>
      </c>
      <c r="G27" s="37">
        <f t="shared" si="2"/>
        <v>1.5769230769230769</v>
      </c>
    </row>
  </sheetData>
  <mergeCells count="3">
    <mergeCell ref="A15:B15"/>
    <mergeCell ref="C15:D15"/>
    <mergeCell ref="F15:G1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P26" sqref="P26"/>
    </sheetView>
  </sheetViews>
  <sheetFormatPr baseColWidth="10" defaultColWidth="8.83203125" defaultRowHeight="15" x14ac:dyDescent="0"/>
  <cols>
    <col min="1" max="1" width="20" bestFit="1" customWidth="1"/>
    <col min="2" max="2" width="14.33203125" bestFit="1" customWidth="1"/>
    <col min="6" max="6" width="9.6640625" bestFit="1" customWidth="1"/>
  </cols>
  <sheetData>
    <row r="1" spans="1:14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4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4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4" ht="18">
      <c r="A4" s="5" t="s">
        <v>147</v>
      </c>
      <c r="B4" s="2"/>
      <c r="C4" s="3"/>
      <c r="D4" s="6" t="s">
        <v>14</v>
      </c>
      <c r="E4" s="54" t="s">
        <v>19</v>
      </c>
      <c r="F4" s="54"/>
      <c r="G4" s="54"/>
      <c r="H4" s="54"/>
      <c r="I4" s="2"/>
      <c r="J4" s="2"/>
      <c r="K4" s="22" t="s">
        <v>94</v>
      </c>
      <c r="L4" s="23"/>
      <c r="M4" s="24"/>
      <c r="N4" s="25"/>
    </row>
    <row r="5" spans="1:14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14" t="s">
        <v>95</v>
      </c>
      <c r="L5" s="15" t="s">
        <v>109</v>
      </c>
      <c r="M5" s="16"/>
      <c r="N5" s="17"/>
    </row>
    <row r="6" spans="1:14" ht="18">
      <c r="A6" s="8" t="s">
        <v>85</v>
      </c>
      <c r="B6" s="8" t="s">
        <v>86</v>
      </c>
      <c r="C6" s="7">
        <v>1.5880000000000001</v>
      </c>
      <c r="D6" s="7">
        <v>50</v>
      </c>
      <c r="E6" s="7">
        <v>8</v>
      </c>
      <c r="F6" s="7">
        <v>12</v>
      </c>
      <c r="G6" s="7">
        <v>12</v>
      </c>
      <c r="H6" s="6">
        <f>SUM(E6:G6)</f>
        <v>32</v>
      </c>
      <c r="I6" s="6">
        <v>2</v>
      </c>
      <c r="J6" s="2"/>
      <c r="K6" s="18" t="s">
        <v>97</v>
      </c>
      <c r="L6" s="19" t="s">
        <v>110</v>
      </c>
      <c r="M6" s="20"/>
      <c r="N6" s="21"/>
    </row>
    <row r="7" spans="1:14" ht="18">
      <c r="A7" s="8" t="s">
        <v>87</v>
      </c>
      <c r="B7" s="8" t="s">
        <v>88</v>
      </c>
      <c r="C7" s="9">
        <v>1.2</v>
      </c>
      <c r="D7" s="7">
        <v>41</v>
      </c>
      <c r="E7" s="7">
        <v>12</v>
      </c>
      <c r="F7" s="7">
        <v>12</v>
      </c>
      <c r="G7" s="7">
        <v>12</v>
      </c>
      <c r="H7" s="6">
        <f t="shared" ref="H7:H9" si="0">SUM(E7:G7)</f>
        <v>36</v>
      </c>
      <c r="I7" s="6">
        <v>1</v>
      </c>
      <c r="J7" s="2"/>
      <c r="K7" s="2"/>
      <c r="L7" s="2"/>
    </row>
    <row r="8" spans="1:14" ht="18">
      <c r="A8" s="8" t="s">
        <v>89</v>
      </c>
      <c r="B8" s="8" t="s">
        <v>90</v>
      </c>
      <c r="C8" s="7">
        <v>1.538</v>
      </c>
      <c r="D8" s="7">
        <v>50</v>
      </c>
      <c r="E8" s="7">
        <v>12</v>
      </c>
      <c r="F8" s="7">
        <v>9</v>
      </c>
      <c r="G8" s="7">
        <v>8</v>
      </c>
      <c r="H8" s="6">
        <f t="shared" si="0"/>
        <v>29</v>
      </c>
      <c r="I8" s="6">
        <v>3</v>
      </c>
      <c r="J8" s="2"/>
      <c r="K8" s="2"/>
      <c r="L8" s="2"/>
    </row>
    <row r="9" spans="1:14" ht="18">
      <c r="A9" s="8" t="s">
        <v>91</v>
      </c>
      <c r="B9" s="8" t="s">
        <v>92</v>
      </c>
      <c r="C9" s="7">
        <v>1.4019999999999999</v>
      </c>
      <c r="D9" s="7">
        <v>47</v>
      </c>
      <c r="E9" s="7">
        <v>8</v>
      </c>
      <c r="F9" s="7">
        <v>8</v>
      </c>
      <c r="G9" s="7">
        <v>7</v>
      </c>
      <c r="H9" s="6">
        <f t="shared" si="0"/>
        <v>23</v>
      </c>
      <c r="I9" s="6">
        <v>4</v>
      </c>
      <c r="J9" s="2"/>
      <c r="K9" s="2"/>
      <c r="L9" s="2"/>
    </row>
    <row r="10" spans="1:14" ht="18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4" ht="18">
      <c r="A11" s="49" t="s">
        <v>13</v>
      </c>
      <c r="B11" s="50"/>
      <c r="C11" s="51" t="s">
        <v>16</v>
      </c>
      <c r="D11" s="52"/>
      <c r="E11" s="6" t="s">
        <v>26</v>
      </c>
      <c r="F11" s="51" t="s">
        <v>17</v>
      </c>
      <c r="G11" s="52"/>
      <c r="H11" s="51" t="s">
        <v>18</v>
      </c>
      <c r="I11" s="52"/>
      <c r="J11" s="2"/>
      <c r="K11" s="2"/>
      <c r="L11" s="2"/>
    </row>
    <row r="12" spans="1:14" ht="18">
      <c r="A12" s="8" t="s">
        <v>87</v>
      </c>
      <c r="B12" s="8" t="s">
        <v>85</v>
      </c>
      <c r="C12" s="7">
        <v>41</v>
      </c>
      <c r="D12" s="7">
        <v>40</v>
      </c>
      <c r="E12" s="7">
        <v>23</v>
      </c>
      <c r="F12" s="7">
        <v>12</v>
      </c>
      <c r="G12" s="7">
        <v>8</v>
      </c>
      <c r="H12" s="10">
        <v>1</v>
      </c>
      <c r="I12" s="10">
        <f>40/50</f>
        <v>0.8</v>
      </c>
      <c r="J12" s="2"/>
      <c r="K12" s="2"/>
      <c r="L12" s="2"/>
    </row>
    <row r="13" spans="1:14" ht="18">
      <c r="A13" s="8" t="s">
        <v>89</v>
      </c>
      <c r="B13" s="8" t="s">
        <v>91</v>
      </c>
      <c r="C13" s="7">
        <v>50</v>
      </c>
      <c r="D13" s="7">
        <v>42</v>
      </c>
      <c r="E13" s="7">
        <v>32</v>
      </c>
      <c r="F13" s="7">
        <v>12</v>
      </c>
      <c r="G13" s="7">
        <v>8</v>
      </c>
      <c r="H13" s="10">
        <v>1</v>
      </c>
      <c r="I13" s="10">
        <f>42/47</f>
        <v>0.8936170212765957</v>
      </c>
      <c r="J13" s="2"/>
      <c r="K13" s="2"/>
      <c r="L13" s="2"/>
    </row>
    <row r="14" spans="1:14" ht="18">
      <c r="A14" s="8" t="s">
        <v>91</v>
      </c>
      <c r="B14" s="8" t="s">
        <v>85</v>
      </c>
      <c r="C14" s="7">
        <v>39</v>
      </c>
      <c r="D14" s="7">
        <v>50</v>
      </c>
      <c r="E14" s="7">
        <v>28</v>
      </c>
      <c r="F14" s="7">
        <v>8</v>
      </c>
      <c r="G14" s="7">
        <v>12</v>
      </c>
      <c r="H14" s="10">
        <f>39/47</f>
        <v>0.82978723404255317</v>
      </c>
      <c r="I14" s="10">
        <v>1</v>
      </c>
      <c r="J14" s="2"/>
      <c r="K14" s="2"/>
      <c r="L14" s="2"/>
    </row>
    <row r="15" spans="1:14" ht="18">
      <c r="A15" s="8" t="s">
        <v>87</v>
      </c>
      <c r="B15" s="8" t="s">
        <v>89</v>
      </c>
      <c r="C15" s="7">
        <v>41</v>
      </c>
      <c r="D15" s="7">
        <v>46</v>
      </c>
      <c r="E15" s="7">
        <v>28</v>
      </c>
      <c r="F15" s="7">
        <v>12</v>
      </c>
      <c r="G15" s="7">
        <v>9</v>
      </c>
      <c r="H15" s="10">
        <v>1</v>
      </c>
      <c r="I15" s="10">
        <f>46/50</f>
        <v>0.92</v>
      </c>
      <c r="J15" s="2"/>
      <c r="K15" s="2"/>
      <c r="L15" s="2"/>
    </row>
    <row r="16" spans="1:14" ht="18">
      <c r="A16" s="8" t="s">
        <v>87</v>
      </c>
      <c r="B16" s="8" t="s">
        <v>91</v>
      </c>
      <c r="C16" s="7">
        <v>41</v>
      </c>
      <c r="D16" s="7">
        <v>34</v>
      </c>
      <c r="E16" s="7">
        <v>22</v>
      </c>
      <c r="F16" s="7">
        <v>12</v>
      </c>
      <c r="G16" s="7">
        <v>7</v>
      </c>
      <c r="H16" s="10">
        <v>1</v>
      </c>
      <c r="I16" s="10">
        <f>34/47</f>
        <v>0.72340425531914898</v>
      </c>
      <c r="J16" s="2"/>
      <c r="K16" s="2"/>
      <c r="L16" s="2"/>
    </row>
    <row r="17" spans="1:12" ht="18">
      <c r="A17" s="8" t="s">
        <v>85</v>
      </c>
      <c r="B17" s="8" t="s">
        <v>89</v>
      </c>
      <c r="C17" s="7">
        <v>50</v>
      </c>
      <c r="D17" s="7">
        <v>43</v>
      </c>
      <c r="E17" s="7">
        <v>31</v>
      </c>
      <c r="F17" s="7">
        <v>12</v>
      </c>
      <c r="G17" s="7">
        <v>8</v>
      </c>
      <c r="H17" s="10">
        <v>1</v>
      </c>
      <c r="I17" s="10">
        <f>43/50</f>
        <v>0.86</v>
      </c>
      <c r="J17" s="2"/>
      <c r="K17" s="2"/>
      <c r="L17" s="2"/>
    </row>
    <row r="18" spans="1:12" ht="18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>
      <c r="A20" s="2"/>
      <c r="B20" s="8" t="s">
        <v>85</v>
      </c>
      <c r="C20" s="7">
        <v>40</v>
      </c>
      <c r="D20" s="7">
        <v>50</v>
      </c>
      <c r="E20" s="7">
        <v>50</v>
      </c>
      <c r="F20" s="7">
        <f>SUM(C20:E20)</f>
        <v>140</v>
      </c>
      <c r="G20" s="7">
        <f t="shared" ref="G20:G23" si="1">3*D6</f>
        <v>150</v>
      </c>
      <c r="H20" s="7">
        <f>E12+E14+E17</f>
        <v>82</v>
      </c>
      <c r="I20" s="9">
        <f>F20/H20</f>
        <v>1.7073170731707317</v>
      </c>
      <c r="J20" s="13">
        <f>I20/C6</f>
        <v>1.0751366959513422</v>
      </c>
      <c r="K20" s="12">
        <f>F20/G20</f>
        <v>0.93333333333333335</v>
      </c>
      <c r="L20" s="2"/>
    </row>
    <row r="21" spans="1:12" ht="18">
      <c r="A21" s="2"/>
      <c r="B21" s="8" t="s">
        <v>87</v>
      </c>
      <c r="C21" s="7">
        <v>41</v>
      </c>
      <c r="D21" s="7">
        <v>41</v>
      </c>
      <c r="E21" s="7">
        <v>41</v>
      </c>
      <c r="F21" s="7">
        <f t="shared" ref="F21:F23" si="2">SUM(C21:E21)</f>
        <v>123</v>
      </c>
      <c r="G21" s="7">
        <f t="shared" si="1"/>
        <v>123</v>
      </c>
      <c r="H21" s="7">
        <f>E12+E15+E16</f>
        <v>73</v>
      </c>
      <c r="I21" s="9">
        <f t="shared" ref="I21:I23" si="3">F21/H21</f>
        <v>1.6849315068493151</v>
      </c>
      <c r="J21" s="13">
        <f>I21/C7</f>
        <v>1.404109589041096</v>
      </c>
      <c r="K21" s="12">
        <f>F21/G21</f>
        <v>1</v>
      </c>
      <c r="L21" s="2"/>
    </row>
    <row r="22" spans="1:12" ht="18">
      <c r="A22" s="2"/>
      <c r="B22" s="8" t="s">
        <v>89</v>
      </c>
      <c r="C22" s="7">
        <v>50</v>
      </c>
      <c r="D22" s="7">
        <v>46</v>
      </c>
      <c r="E22" s="7">
        <v>43</v>
      </c>
      <c r="F22" s="7">
        <f t="shared" si="2"/>
        <v>139</v>
      </c>
      <c r="G22" s="7">
        <f t="shared" si="1"/>
        <v>150</v>
      </c>
      <c r="H22" s="7">
        <f>E13+E15+E17</f>
        <v>91</v>
      </c>
      <c r="I22" s="9">
        <f t="shared" si="3"/>
        <v>1.5274725274725274</v>
      </c>
      <c r="J22" s="13">
        <f>I22/C8</f>
        <v>0.99315508938395791</v>
      </c>
      <c r="K22" s="12">
        <f>F22/G22</f>
        <v>0.92666666666666664</v>
      </c>
      <c r="L22" s="2"/>
    </row>
    <row r="23" spans="1:12" ht="18">
      <c r="A23" s="2"/>
      <c r="B23" s="8" t="s">
        <v>91</v>
      </c>
      <c r="C23" s="7">
        <v>42</v>
      </c>
      <c r="D23" s="7">
        <v>39</v>
      </c>
      <c r="E23" s="7">
        <v>34</v>
      </c>
      <c r="F23" s="7">
        <f t="shared" si="2"/>
        <v>115</v>
      </c>
      <c r="G23" s="7">
        <f t="shared" si="1"/>
        <v>141</v>
      </c>
      <c r="H23" s="7">
        <f>E13+E14+E16</f>
        <v>82</v>
      </c>
      <c r="I23" s="9">
        <f t="shared" si="3"/>
        <v>1.4024390243902438</v>
      </c>
      <c r="J23" s="13">
        <f>I23/C9</f>
        <v>1.0003131415051669</v>
      </c>
      <c r="K23" s="12">
        <f>F23/G23</f>
        <v>0.81560283687943258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5">
    <mergeCell ref="E4:H4"/>
    <mergeCell ref="A11:B11"/>
    <mergeCell ref="C11:D11"/>
    <mergeCell ref="F11:G11"/>
    <mergeCell ref="H11:I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C9" sqref="C9"/>
    </sheetView>
  </sheetViews>
  <sheetFormatPr baseColWidth="10" defaultColWidth="10.83203125" defaultRowHeight="18" x14ac:dyDescent="0"/>
  <cols>
    <col min="1" max="1" width="19.5" style="2" bestFit="1" customWidth="1"/>
    <col min="2" max="2" width="14.1640625" style="2" bestFit="1" customWidth="1"/>
    <col min="3" max="3" width="7.83203125" style="3" customWidth="1"/>
    <col min="4" max="4" width="7.83203125" style="3" bestFit="1" customWidth="1"/>
    <col min="5" max="7" width="6.1640625" style="3" customWidth="1"/>
    <col min="8" max="8" width="7.33203125" style="3" bestFit="1" customWidth="1"/>
    <col min="9" max="9" width="7.1640625" style="2" bestFit="1" customWidth="1"/>
    <col min="10" max="10" width="7.33203125" style="2" bestFit="1" customWidth="1"/>
    <col min="11" max="11" width="6.1640625" style="2" bestFit="1" customWidth="1"/>
    <col min="12" max="16384" width="10.83203125" style="2"/>
  </cols>
  <sheetData>
    <row r="1" spans="1:15">
      <c r="A1" s="1" t="s">
        <v>0</v>
      </c>
    </row>
    <row r="2" spans="1:15">
      <c r="A2" s="2" t="s">
        <v>1</v>
      </c>
      <c r="B2" s="4">
        <v>45032</v>
      </c>
    </row>
    <row r="4" spans="1:15">
      <c r="A4" s="5" t="s">
        <v>35</v>
      </c>
      <c r="D4" s="6" t="s">
        <v>14</v>
      </c>
      <c r="E4" s="54" t="s">
        <v>19</v>
      </c>
      <c r="F4" s="54"/>
      <c r="G4" s="54"/>
      <c r="H4" s="54"/>
      <c r="L4" s="22" t="s">
        <v>94</v>
      </c>
      <c r="M4" s="23"/>
      <c r="N4" s="24"/>
      <c r="O4" s="25"/>
    </row>
    <row r="5" spans="1:15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L5" s="14" t="s">
        <v>95</v>
      </c>
      <c r="M5" s="15" t="s">
        <v>111</v>
      </c>
      <c r="N5" s="16"/>
      <c r="O5" s="17"/>
    </row>
    <row r="6" spans="1:15" ht="23" customHeight="1">
      <c r="A6" s="8" t="s">
        <v>27</v>
      </c>
      <c r="B6" s="8" t="s">
        <v>34</v>
      </c>
      <c r="C6" s="7">
        <v>0.77300000000000002</v>
      </c>
      <c r="D6" s="7">
        <v>29</v>
      </c>
      <c r="E6" s="7">
        <v>9</v>
      </c>
      <c r="F6" s="7">
        <v>6</v>
      </c>
      <c r="G6" s="7">
        <v>5</v>
      </c>
      <c r="H6" s="6">
        <f>SUM(E6:G6)</f>
        <v>20</v>
      </c>
      <c r="I6" s="6">
        <v>4</v>
      </c>
      <c r="L6" s="18" t="s">
        <v>97</v>
      </c>
      <c r="M6" s="19" t="s">
        <v>112</v>
      </c>
      <c r="N6" s="20"/>
      <c r="O6" s="21"/>
    </row>
    <row r="7" spans="1:15" ht="23" customHeight="1">
      <c r="A7" s="8" t="s">
        <v>28</v>
      </c>
      <c r="B7" s="8" t="s">
        <v>29</v>
      </c>
      <c r="C7" s="7">
        <v>1.1279999999999999</v>
      </c>
      <c r="D7" s="7">
        <v>38</v>
      </c>
      <c r="E7" s="7">
        <v>12</v>
      </c>
      <c r="F7" s="7">
        <v>9</v>
      </c>
      <c r="G7" s="7">
        <v>12</v>
      </c>
      <c r="H7" s="6">
        <f t="shared" ref="H7:H9" si="0">SUM(E7:G7)</f>
        <v>33</v>
      </c>
      <c r="I7" s="6">
        <v>1</v>
      </c>
    </row>
    <row r="8" spans="1:15" ht="23" customHeight="1">
      <c r="A8" s="8" t="s">
        <v>30</v>
      </c>
      <c r="B8" s="8" t="s">
        <v>31</v>
      </c>
      <c r="C8" s="9">
        <v>1</v>
      </c>
      <c r="D8" s="7">
        <v>35</v>
      </c>
      <c r="E8" s="7">
        <v>4</v>
      </c>
      <c r="F8" s="7">
        <v>12</v>
      </c>
      <c r="G8" s="7">
        <v>12</v>
      </c>
      <c r="H8" s="6">
        <f t="shared" si="0"/>
        <v>28</v>
      </c>
      <c r="I8" s="6">
        <v>3</v>
      </c>
    </row>
    <row r="9" spans="1:15" ht="23" customHeight="1">
      <c r="A9" s="8" t="s">
        <v>32</v>
      </c>
      <c r="B9" s="8" t="s">
        <v>33</v>
      </c>
      <c r="C9" s="7">
        <v>0.95499999999999996</v>
      </c>
      <c r="D9" s="7">
        <v>33</v>
      </c>
      <c r="E9" s="7">
        <v>12</v>
      </c>
      <c r="F9" s="7">
        <v>12</v>
      </c>
      <c r="G9" s="7">
        <v>6</v>
      </c>
      <c r="H9" s="6">
        <f t="shared" si="0"/>
        <v>30</v>
      </c>
      <c r="I9" s="6">
        <v>2</v>
      </c>
    </row>
    <row r="11" spans="1:15">
      <c r="A11" s="49" t="s">
        <v>13</v>
      </c>
      <c r="B11" s="50"/>
      <c r="C11" s="51" t="s">
        <v>16</v>
      </c>
      <c r="D11" s="52"/>
      <c r="E11" s="6" t="s">
        <v>26</v>
      </c>
      <c r="F11" s="51" t="s">
        <v>17</v>
      </c>
      <c r="G11" s="52"/>
      <c r="H11" s="51" t="s">
        <v>18</v>
      </c>
      <c r="I11" s="52"/>
    </row>
    <row r="12" spans="1:15" ht="23" customHeight="1">
      <c r="A12" s="8" t="s">
        <v>30</v>
      </c>
      <c r="B12" s="8" t="s">
        <v>32</v>
      </c>
      <c r="C12" s="7">
        <v>15</v>
      </c>
      <c r="D12" s="7">
        <v>33</v>
      </c>
      <c r="E12" s="7">
        <v>21</v>
      </c>
      <c r="F12" s="7">
        <v>4</v>
      </c>
      <c r="G12" s="7">
        <v>12</v>
      </c>
      <c r="H12" s="10">
        <f>C12/D6</f>
        <v>0.51724137931034486</v>
      </c>
      <c r="I12" s="10">
        <f>D12/D9</f>
        <v>1</v>
      </c>
    </row>
    <row r="13" spans="1:15" ht="23" customHeight="1">
      <c r="A13" s="8" t="s">
        <v>27</v>
      </c>
      <c r="B13" s="8" t="s">
        <v>28</v>
      </c>
      <c r="C13" s="7">
        <v>27</v>
      </c>
      <c r="D13" s="7">
        <v>38</v>
      </c>
      <c r="E13" s="7">
        <v>37</v>
      </c>
      <c r="F13" s="7">
        <v>9</v>
      </c>
      <c r="G13" s="7">
        <v>12</v>
      </c>
      <c r="H13" s="10">
        <f>C13/D6</f>
        <v>0.93103448275862066</v>
      </c>
      <c r="I13" s="10">
        <f>D13/D7</f>
        <v>1</v>
      </c>
    </row>
    <row r="14" spans="1:15" ht="23" customHeight="1">
      <c r="A14" s="8" t="s">
        <v>28</v>
      </c>
      <c r="B14" s="8" t="s">
        <v>30</v>
      </c>
      <c r="C14" s="7">
        <v>35</v>
      </c>
      <c r="D14" s="7">
        <v>35</v>
      </c>
      <c r="E14" s="7">
        <v>30</v>
      </c>
      <c r="F14" s="7">
        <v>9</v>
      </c>
      <c r="G14" s="7">
        <v>12</v>
      </c>
      <c r="H14" s="10">
        <f>C14/D7</f>
        <v>0.92105263157894735</v>
      </c>
      <c r="I14" s="10">
        <f>D14/D8</f>
        <v>1</v>
      </c>
    </row>
    <row r="15" spans="1:15" ht="23" customHeight="1">
      <c r="A15" s="8" t="s">
        <v>32</v>
      </c>
      <c r="B15" s="8" t="s">
        <v>27</v>
      </c>
      <c r="C15" s="7">
        <v>33</v>
      </c>
      <c r="D15" s="7">
        <v>20</v>
      </c>
      <c r="E15" s="7">
        <v>34</v>
      </c>
      <c r="F15" s="7">
        <v>12</v>
      </c>
      <c r="G15" s="7">
        <v>6</v>
      </c>
      <c r="H15" s="10">
        <f>C15/D9</f>
        <v>1</v>
      </c>
      <c r="I15" s="10">
        <f>D15/D6</f>
        <v>0.68965517241379315</v>
      </c>
    </row>
    <row r="16" spans="1:15" ht="23" customHeight="1">
      <c r="A16" s="8" t="s">
        <v>27</v>
      </c>
      <c r="B16" s="8" t="s">
        <v>30</v>
      </c>
      <c r="C16" s="7">
        <v>15</v>
      </c>
      <c r="D16" s="7">
        <v>35</v>
      </c>
      <c r="E16" s="7">
        <v>20</v>
      </c>
      <c r="F16" s="7">
        <v>5</v>
      </c>
      <c r="G16" s="7">
        <v>12</v>
      </c>
      <c r="H16" s="10">
        <f>C16/D6</f>
        <v>0.51724137931034486</v>
      </c>
      <c r="I16" s="10">
        <f>D16/D8</f>
        <v>1</v>
      </c>
    </row>
    <row r="17" spans="1:11" ht="23" customHeight="1">
      <c r="A17" s="8" t="s">
        <v>32</v>
      </c>
      <c r="B17" s="8" t="s">
        <v>28</v>
      </c>
      <c r="C17" s="7">
        <v>23</v>
      </c>
      <c r="D17" s="7">
        <v>38</v>
      </c>
      <c r="E17" s="7">
        <v>32</v>
      </c>
      <c r="F17" s="7">
        <v>6</v>
      </c>
      <c r="G17" s="7">
        <v>12</v>
      </c>
      <c r="H17" s="10">
        <f>C17/D9</f>
        <v>0.69696969696969702</v>
      </c>
      <c r="I17" s="10">
        <f>D17/D7</f>
        <v>1</v>
      </c>
    </row>
    <row r="19" spans="1:11">
      <c r="B19" s="5" t="s">
        <v>39</v>
      </c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</row>
    <row r="20" spans="1:11">
      <c r="B20" s="8" t="s">
        <v>27</v>
      </c>
      <c r="C20" s="7">
        <v>27</v>
      </c>
      <c r="D20" s="7">
        <v>20</v>
      </c>
      <c r="E20" s="7">
        <v>15</v>
      </c>
      <c r="F20" s="7">
        <f>SUM(C20:E20)</f>
        <v>62</v>
      </c>
      <c r="G20" s="7">
        <f>3*D6</f>
        <v>87</v>
      </c>
      <c r="H20" s="7">
        <f>E13+E15+E16</f>
        <v>91</v>
      </c>
      <c r="I20" s="7">
        <f>F20/H20</f>
        <v>0.68131868131868134</v>
      </c>
      <c r="J20" s="10">
        <f>I20/C6</f>
        <v>0.88139544801899261</v>
      </c>
      <c r="K20" s="11">
        <f>F20/G20</f>
        <v>0.71264367816091956</v>
      </c>
    </row>
    <row r="21" spans="1:11">
      <c r="B21" s="8" t="s">
        <v>28</v>
      </c>
      <c r="C21" s="7">
        <v>38</v>
      </c>
      <c r="D21" s="7">
        <v>35</v>
      </c>
      <c r="E21" s="7">
        <v>38</v>
      </c>
      <c r="F21" s="7">
        <f>SUM(C21:E21)</f>
        <v>111</v>
      </c>
      <c r="G21" s="7">
        <f>3*D7</f>
        <v>114</v>
      </c>
      <c r="H21" s="7">
        <f>E13+E14+E17</f>
        <v>99</v>
      </c>
      <c r="I21" s="7">
        <f t="shared" ref="I21:I23" si="1">F21/H21</f>
        <v>1.1212121212121211</v>
      </c>
      <c r="J21" s="10">
        <f>I21/C7</f>
        <v>0.99398237696110037</v>
      </c>
      <c r="K21" s="11">
        <f>F21/G21</f>
        <v>0.97368421052631582</v>
      </c>
    </row>
    <row r="22" spans="1:11">
      <c r="B22" s="8" t="s">
        <v>30</v>
      </c>
      <c r="C22" s="7">
        <v>15</v>
      </c>
      <c r="D22" s="7">
        <v>35</v>
      </c>
      <c r="E22" s="7">
        <v>35</v>
      </c>
      <c r="F22" s="7">
        <f>SUM(C22:E22)</f>
        <v>85</v>
      </c>
      <c r="G22" s="7">
        <f>3*D8</f>
        <v>105</v>
      </c>
      <c r="H22" s="7">
        <f>E12+E14+E16</f>
        <v>71</v>
      </c>
      <c r="I22" s="7">
        <f t="shared" si="1"/>
        <v>1.1971830985915493</v>
      </c>
      <c r="J22" s="10">
        <f>I22/C8</f>
        <v>1.1971830985915493</v>
      </c>
      <c r="K22" s="11">
        <f>F22/G22</f>
        <v>0.80952380952380953</v>
      </c>
    </row>
    <row r="23" spans="1:11">
      <c r="B23" s="8" t="s">
        <v>32</v>
      </c>
      <c r="C23" s="7">
        <v>33</v>
      </c>
      <c r="D23" s="7">
        <v>33</v>
      </c>
      <c r="E23" s="7">
        <v>23</v>
      </c>
      <c r="F23" s="7">
        <f>SUM(C23:E23)</f>
        <v>89</v>
      </c>
      <c r="G23" s="7">
        <f>3*D9</f>
        <v>99</v>
      </c>
      <c r="H23" s="7">
        <f>E12+E15+E17</f>
        <v>87</v>
      </c>
      <c r="I23" s="7">
        <f t="shared" si="1"/>
        <v>1.0229885057471264</v>
      </c>
      <c r="J23" s="10">
        <f>I23/C9</f>
        <v>1.0711921526147921</v>
      </c>
      <c r="K23" s="11">
        <f>F23/G23</f>
        <v>0.89898989898989901</v>
      </c>
    </row>
  </sheetData>
  <mergeCells count="5">
    <mergeCell ref="E4:H4"/>
    <mergeCell ref="A11:B11"/>
    <mergeCell ref="C11:D11"/>
    <mergeCell ref="F11:G11"/>
    <mergeCell ref="H11:I11"/>
  </mergeCells>
  <phoneticPr fontId="6" type="noConversion"/>
  <pageMargins left="0.75" right="0.75" top="1" bottom="1" header="0.5" footer="0.5"/>
  <pageSetup paperSize="9" orientation="portrait" horizontalDpi="4294967292" verticalDpi="4294967292"/>
  <ignoredErrors>
    <ignoredError sqref="H6:H9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G27"/>
  <sheetViews>
    <sheetView tabSelected="1" workbookViewId="0">
      <selection activeCell="I23" sqref="I23"/>
    </sheetView>
  </sheetViews>
  <sheetFormatPr baseColWidth="10" defaultColWidth="10.83203125" defaultRowHeight="18" x14ac:dyDescent="0"/>
  <cols>
    <col min="1" max="1" width="19.5" style="2" bestFit="1" customWidth="1"/>
    <col min="2" max="2" width="13.83203125" style="2" bestFit="1" customWidth="1"/>
    <col min="3" max="3" width="10.83203125" style="3" customWidth="1"/>
    <col min="4" max="4" width="8.6640625" style="3" customWidth="1"/>
    <col min="5" max="6" width="10.6640625" style="3" customWidth="1"/>
    <col min="7" max="7" width="8.6640625" style="2" customWidth="1"/>
    <col min="8" max="8" width="7.33203125" style="2" bestFit="1" customWidth="1"/>
    <col min="9" max="9" width="6.5" style="2" bestFit="1" customWidth="1"/>
    <col min="10" max="16384" width="10.83203125" style="2"/>
  </cols>
  <sheetData>
    <row r="1" spans="1:7">
      <c r="A1" s="15" t="s">
        <v>145</v>
      </c>
    </row>
    <row r="2" spans="1:7">
      <c r="A2" s="2" t="s">
        <v>134</v>
      </c>
      <c r="B2" s="4">
        <v>45059</v>
      </c>
    </row>
    <row r="3" spans="1:7">
      <c r="D3" s="2"/>
      <c r="E3" s="2"/>
      <c r="F3" s="2"/>
    </row>
    <row r="4" spans="1:7">
      <c r="A4" s="38" t="s">
        <v>113</v>
      </c>
      <c r="D4" s="2"/>
      <c r="E4" s="2"/>
      <c r="F4" s="2"/>
    </row>
    <row r="5" spans="1:7" ht="36">
      <c r="A5" s="5" t="s">
        <v>2</v>
      </c>
      <c r="B5" s="5" t="s">
        <v>3</v>
      </c>
      <c r="C5" s="40" t="s">
        <v>135</v>
      </c>
      <c r="D5" s="36" t="s">
        <v>139</v>
      </c>
      <c r="E5" s="36" t="s">
        <v>136</v>
      </c>
      <c r="F5" s="36" t="s">
        <v>140</v>
      </c>
      <c r="G5" s="6" t="s">
        <v>25</v>
      </c>
    </row>
    <row r="6" spans="1:7">
      <c r="A6" s="8" t="s">
        <v>51</v>
      </c>
      <c r="B6" s="8" t="s">
        <v>52</v>
      </c>
      <c r="C6" s="7">
        <v>1.8129999999999999</v>
      </c>
      <c r="D6" s="7">
        <v>59</v>
      </c>
      <c r="E6" s="9">
        <f>SUM(C19+C23+C27)/SUM(E19+E23+E27)</f>
        <v>2.4246575342465753</v>
      </c>
      <c r="F6" s="39">
        <f>E6/C6</f>
        <v>1.3373731573340184</v>
      </c>
      <c r="G6" s="6">
        <v>1</v>
      </c>
    </row>
    <row r="7" spans="1:7">
      <c r="A7" s="8" t="s">
        <v>55</v>
      </c>
      <c r="B7" s="8" t="s">
        <v>56</v>
      </c>
      <c r="C7" s="7">
        <v>1.696</v>
      </c>
      <c r="D7" s="7">
        <v>53</v>
      </c>
      <c r="E7" s="9">
        <f>SUM(C18+C22+D27)/SUM(E18+E22+E27)</f>
        <v>2.8148148148148149</v>
      </c>
      <c r="F7" s="39">
        <f t="shared" ref="F7:F9" si="0">E7/C7</f>
        <v>1.6596785464709993</v>
      </c>
      <c r="G7" s="6">
        <v>2</v>
      </c>
    </row>
    <row r="8" spans="1:7">
      <c r="A8" s="8" t="s">
        <v>9</v>
      </c>
      <c r="B8" s="8" t="s">
        <v>10</v>
      </c>
      <c r="C8" s="7">
        <v>2.375</v>
      </c>
      <c r="D8" s="7">
        <v>70</v>
      </c>
      <c r="E8" s="9">
        <f>SUM(C17+D22+C25)/SUM(E17+E22+E25)</f>
        <v>2.6805555555555554</v>
      </c>
      <c r="F8" s="39">
        <f t="shared" si="0"/>
        <v>1.1286549707602338</v>
      </c>
      <c r="G8" s="6">
        <v>3</v>
      </c>
    </row>
    <row r="9" spans="1:7">
      <c r="A9" s="8" t="s">
        <v>5</v>
      </c>
      <c r="B9" s="8" t="s">
        <v>6</v>
      </c>
      <c r="C9" s="7">
        <v>2.431</v>
      </c>
      <c r="D9" s="7">
        <v>70</v>
      </c>
      <c r="E9" s="9">
        <f>SUM(C20+D23+D25)/SUM(E20+E23+E25)</f>
        <v>2.8333333333333335</v>
      </c>
      <c r="F9" s="39">
        <f t="shared" si="0"/>
        <v>1.1655011655011656</v>
      </c>
      <c r="G9" s="6">
        <v>4</v>
      </c>
    </row>
    <row r="10" spans="1:7">
      <c r="A10" s="8" t="s">
        <v>93</v>
      </c>
      <c r="B10" s="8" t="s">
        <v>66</v>
      </c>
      <c r="C10" s="7">
        <v>2.35</v>
      </c>
      <c r="D10" s="7">
        <v>70</v>
      </c>
      <c r="E10" s="9"/>
      <c r="F10" s="7"/>
      <c r="G10" s="6">
        <v>5</v>
      </c>
    </row>
    <row r="11" spans="1:7">
      <c r="A11" s="8" t="s">
        <v>44</v>
      </c>
      <c r="B11" s="8" t="s">
        <v>45</v>
      </c>
      <c r="C11" s="7">
        <v>1.923</v>
      </c>
      <c r="D11" s="7">
        <v>62</v>
      </c>
      <c r="E11" s="9"/>
      <c r="F11" s="7"/>
      <c r="G11" s="6">
        <v>5</v>
      </c>
    </row>
    <row r="12" spans="1:7">
      <c r="A12" s="8" t="s">
        <v>42</v>
      </c>
      <c r="B12" s="8" t="s">
        <v>43</v>
      </c>
      <c r="C12" s="7">
        <v>1.861</v>
      </c>
      <c r="D12" s="7">
        <v>59</v>
      </c>
      <c r="E12" s="9"/>
      <c r="F12" s="7"/>
      <c r="G12" s="6">
        <v>5</v>
      </c>
    </row>
    <row r="13" spans="1:7">
      <c r="A13" s="8" t="s">
        <v>60</v>
      </c>
      <c r="B13" s="8" t="s">
        <v>61</v>
      </c>
      <c r="C13" s="7">
        <v>1.9019999999999999</v>
      </c>
      <c r="D13" s="7">
        <v>62</v>
      </c>
      <c r="E13" s="9"/>
      <c r="F13" s="7"/>
      <c r="G13" s="6">
        <v>5</v>
      </c>
    </row>
    <row r="15" spans="1:7">
      <c r="A15" s="49" t="s">
        <v>13</v>
      </c>
      <c r="B15" s="50"/>
      <c r="C15" s="51" t="s">
        <v>16</v>
      </c>
      <c r="D15" s="52"/>
      <c r="E15" s="6" t="s">
        <v>26</v>
      </c>
      <c r="F15" s="53" t="s">
        <v>135</v>
      </c>
      <c r="G15" s="52"/>
    </row>
    <row r="16" spans="1:7">
      <c r="A16" s="48" t="s">
        <v>142</v>
      </c>
      <c r="B16" s="41"/>
      <c r="C16" s="42"/>
      <c r="D16" s="43"/>
      <c r="E16" s="44"/>
      <c r="F16" s="42"/>
      <c r="G16" s="43"/>
    </row>
    <row r="17" spans="1:7">
      <c r="A17" s="38" t="s">
        <v>9</v>
      </c>
      <c r="B17" s="35" t="s">
        <v>60</v>
      </c>
      <c r="C17" s="7">
        <v>70</v>
      </c>
      <c r="D17" s="7">
        <v>57</v>
      </c>
      <c r="E17" s="7">
        <v>28</v>
      </c>
      <c r="F17" s="37">
        <f>C17/E17</f>
        <v>2.5</v>
      </c>
      <c r="G17" s="37">
        <f>D17/E17</f>
        <v>2.0357142857142856</v>
      </c>
    </row>
    <row r="18" spans="1:7">
      <c r="A18" s="38" t="s">
        <v>59</v>
      </c>
      <c r="B18" s="35" t="s">
        <v>48</v>
      </c>
      <c r="C18" s="7">
        <v>53</v>
      </c>
      <c r="D18" s="7">
        <v>24</v>
      </c>
      <c r="E18" s="7">
        <v>13</v>
      </c>
      <c r="F18" s="37">
        <f t="shared" ref="F18:F27" si="1">C18/E18</f>
        <v>4.0769230769230766</v>
      </c>
      <c r="G18" s="37">
        <f t="shared" ref="G18:G27" si="2">D18/E18</f>
        <v>1.8461538461538463</v>
      </c>
    </row>
    <row r="19" spans="1:7">
      <c r="A19" s="38" t="s">
        <v>51</v>
      </c>
      <c r="B19" s="35" t="s">
        <v>44</v>
      </c>
      <c r="C19" s="7">
        <v>59</v>
      </c>
      <c r="D19" s="7">
        <v>37</v>
      </c>
      <c r="E19" s="7">
        <v>28</v>
      </c>
      <c r="F19" s="37">
        <f t="shared" si="1"/>
        <v>2.1071428571428572</v>
      </c>
      <c r="G19" s="37">
        <f t="shared" si="2"/>
        <v>1.3214285714285714</v>
      </c>
    </row>
    <row r="20" spans="1:7">
      <c r="A20" s="38" t="s">
        <v>5</v>
      </c>
      <c r="B20" s="35" t="s">
        <v>93</v>
      </c>
      <c r="C20" s="7">
        <v>70</v>
      </c>
      <c r="D20" s="7">
        <v>60</v>
      </c>
      <c r="E20" s="7">
        <v>18</v>
      </c>
      <c r="F20" s="37">
        <f t="shared" si="1"/>
        <v>3.8888888888888888</v>
      </c>
      <c r="G20" s="37">
        <f t="shared" si="2"/>
        <v>3.3333333333333335</v>
      </c>
    </row>
    <row r="21" spans="1:7">
      <c r="A21" s="48" t="s">
        <v>143</v>
      </c>
      <c r="B21" s="35"/>
      <c r="C21" s="7"/>
      <c r="D21" s="7"/>
      <c r="E21" s="7"/>
      <c r="F21" s="37"/>
      <c r="G21" s="37"/>
    </row>
    <row r="22" spans="1:7">
      <c r="A22" s="38" t="s">
        <v>59</v>
      </c>
      <c r="B22" s="8" t="s">
        <v>9</v>
      </c>
      <c r="C22" s="7">
        <v>53</v>
      </c>
      <c r="D22" s="7">
        <v>53</v>
      </c>
      <c r="E22" s="7">
        <v>15</v>
      </c>
      <c r="F22" s="37">
        <f t="shared" si="1"/>
        <v>3.5333333333333332</v>
      </c>
      <c r="G22" s="37">
        <f t="shared" si="2"/>
        <v>3.5333333333333332</v>
      </c>
    </row>
    <row r="23" spans="1:7">
      <c r="A23" s="38" t="s">
        <v>51</v>
      </c>
      <c r="B23" s="35" t="s">
        <v>5</v>
      </c>
      <c r="C23" s="7">
        <v>59</v>
      </c>
      <c r="D23" s="7">
        <v>54</v>
      </c>
      <c r="E23" s="7">
        <v>19</v>
      </c>
      <c r="F23" s="37">
        <f t="shared" si="1"/>
        <v>3.1052631578947367</v>
      </c>
      <c r="G23" s="37">
        <f t="shared" si="2"/>
        <v>2.8421052631578947</v>
      </c>
    </row>
    <row r="24" spans="1:7">
      <c r="A24" s="48" t="s">
        <v>141</v>
      </c>
      <c r="B24" s="45"/>
      <c r="C24" s="46"/>
      <c r="D24" s="46"/>
      <c r="E24" s="46"/>
      <c r="F24" s="47"/>
      <c r="G24" s="47"/>
    </row>
    <row r="25" spans="1:7">
      <c r="A25" s="38" t="s">
        <v>9</v>
      </c>
      <c r="B25" s="35" t="s">
        <v>5</v>
      </c>
      <c r="C25" s="7">
        <v>70</v>
      </c>
      <c r="D25" s="7">
        <v>63</v>
      </c>
      <c r="E25" s="7">
        <v>29</v>
      </c>
      <c r="F25" s="37">
        <f t="shared" si="1"/>
        <v>2.4137931034482758</v>
      </c>
      <c r="G25" s="37">
        <f t="shared" si="2"/>
        <v>2.1724137931034484</v>
      </c>
    </row>
    <row r="26" spans="1:7">
      <c r="A26" s="48" t="s">
        <v>134</v>
      </c>
      <c r="B26" s="45"/>
      <c r="C26" s="46"/>
      <c r="D26" s="46"/>
      <c r="E26" s="46"/>
      <c r="F26" s="47"/>
      <c r="G26" s="47"/>
    </row>
    <row r="27" spans="1:7">
      <c r="A27" s="38" t="s">
        <v>51</v>
      </c>
      <c r="B27" s="35" t="s">
        <v>59</v>
      </c>
      <c r="C27" s="7">
        <v>59</v>
      </c>
      <c r="D27" s="7">
        <v>46</v>
      </c>
      <c r="E27" s="7">
        <v>26</v>
      </c>
      <c r="F27" s="37">
        <f t="shared" si="1"/>
        <v>2.2692307692307692</v>
      </c>
      <c r="G27" s="37">
        <f t="shared" si="2"/>
        <v>1.7692307692307692</v>
      </c>
    </row>
  </sheetData>
  <mergeCells count="3">
    <mergeCell ref="A15:B15"/>
    <mergeCell ref="C15:D15"/>
    <mergeCell ref="F15:G15"/>
  </mergeCells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B1:E40"/>
  <sheetViews>
    <sheetView workbookViewId="0">
      <selection activeCell="C1" sqref="C1"/>
    </sheetView>
  </sheetViews>
  <sheetFormatPr baseColWidth="10" defaultColWidth="8.83203125" defaultRowHeight="15" x14ac:dyDescent="0"/>
  <cols>
    <col min="1" max="1" width="3.6640625" customWidth="1"/>
    <col min="2" max="2" width="21.1640625" customWidth="1"/>
    <col min="3" max="3" width="14.1640625" style="26" bestFit="1" customWidth="1"/>
    <col min="4" max="4" width="8.83203125" style="26"/>
    <col min="5" max="5" width="10.83203125" style="26" bestFit="1" customWidth="1"/>
  </cols>
  <sheetData>
    <row r="1" spans="2:5" ht="18">
      <c r="B1" s="1" t="s">
        <v>146</v>
      </c>
    </row>
    <row r="3" spans="2:5">
      <c r="B3" s="31" t="s">
        <v>113</v>
      </c>
      <c r="C3" s="33"/>
      <c r="D3" s="33"/>
      <c r="E3" s="33"/>
    </row>
    <row r="4" spans="2:5">
      <c r="B4" s="28"/>
      <c r="C4" s="34" t="s">
        <v>114</v>
      </c>
      <c r="D4" s="34" t="s">
        <v>115</v>
      </c>
      <c r="E4" s="34" t="s">
        <v>116</v>
      </c>
    </row>
    <row r="5" spans="2:5">
      <c r="B5" s="28" t="s">
        <v>103</v>
      </c>
      <c r="C5" s="27">
        <v>1</v>
      </c>
      <c r="D5" s="27">
        <v>36</v>
      </c>
      <c r="E5" s="30">
        <v>1.1299999999999999</v>
      </c>
    </row>
    <row r="6" spans="2:5">
      <c r="B6" s="28" t="s">
        <v>99</v>
      </c>
      <c r="C6" s="27">
        <v>1</v>
      </c>
      <c r="D6" s="27">
        <v>36</v>
      </c>
      <c r="E6" s="30">
        <v>1.1100000000000001</v>
      </c>
    </row>
    <row r="7" spans="2:5">
      <c r="B7" s="28" t="s">
        <v>96</v>
      </c>
      <c r="C7" s="27">
        <v>1</v>
      </c>
      <c r="D7" s="27">
        <v>36</v>
      </c>
      <c r="E7" s="30">
        <v>0.99</v>
      </c>
    </row>
    <row r="8" spans="2:5">
      <c r="B8" s="28" t="s">
        <v>101</v>
      </c>
      <c r="C8" s="27">
        <v>1</v>
      </c>
      <c r="D8" s="27">
        <v>32</v>
      </c>
      <c r="E8" s="30">
        <v>1.27</v>
      </c>
    </row>
    <row r="9" spans="2:5">
      <c r="B9" s="28" t="s">
        <v>100</v>
      </c>
      <c r="C9" s="27">
        <v>2</v>
      </c>
      <c r="D9" s="27">
        <v>32</v>
      </c>
      <c r="E9" s="30">
        <v>1.22</v>
      </c>
    </row>
    <row r="10" spans="2:5">
      <c r="B10" s="28" t="s">
        <v>102</v>
      </c>
      <c r="C10" s="27">
        <v>2</v>
      </c>
      <c r="D10" s="27">
        <v>32</v>
      </c>
      <c r="E10" s="30">
        <v>1</v>
      </c>
    </row>
    <row r="11" spans="2:5">
      <c r="B11" s="28" t="s">
        <v>104</v>
      </c>
      <c r="C11" s="27">
        <v>2</v>
      </c>
      <c r="D11" s="27">
        <v>31</v>
      </c>
      <c r="E11" s="30">
        <v>1.1499999999999999</v>
      </c>
    </row>
    <row r="12" spans="2:5">
      <c r="B12" s="28" t="s">
        <v>98</v>
      </c>
      <c r="C12" s="27">
        <v>2</v>
      </c>
      <c r="D12" s="27">
        <v>28</v>
      </c>
      <c r="E12" s="30">
        <v>0.98</v>
      </c>
    </row>
    <row r="13" spans="2:5">
      <c r="B13" s="28" t="s">
        <v>124</v>
      </c>
      <c r="C13" s="27">
        <v>3</v>
      </c>
      <c r="D13" s="27">
        <v>31</v>
      </c>
      <c r="E13" s="30">
        <v>0.89</v>
      </c>
    </row>
    <row r="14" spans="2:5">
      <c r="B14" s="28" t="s">
        <v>118</v>
      </c>
      <c r="C14" s="27">
        <v>3</v>
      </c>
      <c r="D14" s="27">
        <v>30</v>
      </c>
      <c r="E14" s="30">
        <v>0.92</v>
      </c>
    </row>
    <row r="15" spans="2:5">
      <c r="B15" s="28" t="s">
        <v>122</v>
      </c>
      <c r="C15" s="27">
        <v>3</v>
      </c>
      <c r="D15" s="27">
        <v>26</v>
      </c>
      <c r="E15" s="30">
        <v>0.82</v>
      </c>
    </row>
    <row r="16" spans="2:5">
      <c r="B16" s="28" t="s">
        <v>120</v>
      </c>
      <c r="C16" s="27">
        <v>3</v>
      </c>
      <c r="D16" s="27">
        <v>23</v>
      </c>
      <c r="E16" s="30">
        <v>0.46</v>
      </c>
    </row>
    <row r="17" spans="2:5">
      <c r="B17" s="28" t="s">
        <v>125</v>
      </c>
      <c r="C17" s="27">
        <v>4</v>
      </c>
      <c r="D17" s="27">
        <v>28</v>
      </c>
      <c r="E17" s="30">
        <v>0.69</v>
      </c>
    </row>
    <row r="18" spans="2:5">
      <c r="B18" s="28" t="s">
        <v>121</v>
      </c>
      <c r="C18" s="27">
        <v>4</v>
      </c>
      <c r="D18" s="27">
        <v>22</v>
      </c>
      <c r="E18" s="30">
        <v>0.79</v>
      </c>
    </row>
    <row r="19" spans="2:5">
      <c r="B19" s="28" t="s">
        <v>119</v>
      </c>
      <c r="C19" s="27">
        <v>4</v>
      </c>
      <c r="D19" s="27">
        <v>18</v>
      </c>
      <c r="E19" s="30">
        <v>0.65</v>
      </c>
    </row>
    <row r="20" spans="2:5">
      <c r="B20" s="28" t="s">
        <v>123</v>
      </c>
      <c r="C20" s="27">
        <v>4</v>
      </c>
      <c r="D20" s="27">
        <v>16</v>
      </c>
      <c r="E20" s="30">
        <v>0.6</v>
      </c>
    </row>
    <row r="21" spans="2:5">
      <c r="E21" s="32"/>
    </row>
    <row r="23" spans="2:5">
      <c r="B23" s="31" t="s">
        <v>117</v>
      </c>
      <c r="C23" s="33"/>
      <c r="D23" s="33"/>
      <c r="E23" s="33"/>
    </row>
    <row r="24" spans="2:5">
      <c r="B24" s="28"/>
      <c r="C24" s="29" t="s">
        <v>114</v>
      </c>
      <c r="D24" s="29" t="s">
        <v>115</v>
      </c>
      <c r="E24" s="29" t="s">
        <v>116</v>
      </c>
    </row>
    <row r="25" spans="2:5">
      <c r="B25" s="28" t="s">
        <v>109</v>
      </c>
      <c r="C25" s="27">
        <v>1</v>
      </c>
      <c r="D25" s="27">
        <v>36</v>
      </c>
      <c r="E25" s="30">
        <v>1.4</v>
      </c>
    </row>
    <row r="26" spans="2:5">
      <c r="B26" s="28" t="s">
        <v>111</v>
      </c>
      <c r="C26" s="27">
        <v>1</v>
      </c>
      <c r="D26" s="27">
        <v>33</v>
      </c>
      <c r="E26" s="30">
        <v>0.97</v>
      </c>
    </row>
    <row r="27" spans="2:5">
      <c r="B27" s="28" t="s">
        <v>105</v>
      </c>
      <c r="C27" s="27">
        <v>1</v>
      </c>
      <c r="D27" s="27">
        <v>32</v>
      </c>
      <c r="E27" s="30">
        <v>1.18</v>
      </c>
    </row>
    <row r="28" spans="2:5">
      <c r="B28" s="28" t="s">
        <v>107</v>
      </c>
      <c r="C28" s="27">
        <v>1</v>
      </c>
      <c r="D28" s="27">
        <v>31</v>
      </c>
      <c r="E28" s="30">
        <v>0.91</v>
      </c>
    </row>
    <row r="29" spans="2:5">
      <c r="B29" s="28" t="s">
        <v>110</v>
      </c>
      <c r="C29" s="27">
        <v>2</v>
      </c>
      <c r="D29" s="27">
        <v>32</v>
      </c>
      <c r="E29" s="30">
        <v>1.08</v>
      </c>
    </row>
    <row r="30" spans="2:5">
      <c r="B30" s="28" t="s">
        <v>112</v>
      </c>
      <c r="C30" s="27">
        <v>2</v>
      </c>
      <c r="D30" s="27">
        <v>30</v>
      </c>
      <c r="E30" s="30">
        <v>0.9</v>
      </c>
    </row>
    <row r="31" spans="2:5">
      <c r="B31" s="28" t="s">
        <v>108</v>
      </c>
      <c r="C31" s="27">
        <v>2</v>
      </c>
      <c r="D31" s="27">
        <v>30</v>
      </c>
      <c r="E31" s="30">
        <v>0.87</v>
      </c>
    </row>
    <row r="32" spans="2:5">
      <c r="B32" s="28" t="s">
        <v>106</v>
      </c>
      <c r="C32" s="27">
        <v>2</v>
      </c>
      <c r="D32" s="27">
        <v>29</v>
      </c>
      <c r="E32" s="30">
        <v>0.99</v>
      </c>
    </row>
    <row r="33" spans="2:5">
      <c r="B33" s="28" t="s">
        <v>130</v>
      </c>
      <c r="C33" s="27">
        <v>3</v>
      </c>
      <c r="D33" s="27">
        <v>29</v>
      </c>
      <c r="E33" s="30">
        <v>0.93</v>
      </c>
    </row>
    <row r="34" spans="2:5">
      <c r="B34" s="28" t="s">
        <v>128</v>
      </c>
      <c r="C34" s="27">
        <v>3</v>
      </c>
      <c r="D34" s="27">
        <v>29</v>
      </c>
      <c r="E34" s="30">
        <v>0.91</v>
      </c>
    </row>
    <row r="35" spans="2:5">
      <c r="B35" s="28" t="s">
        <v>126</v>
      </c>
      <c r="C35" s="27">
        <v>3</v>
      </c>
      <c r="D35" s="27">
        <v>28</v>
      </c>
      <c r="E35" s="30">
        <v>0.92</v>
      </c>
    </row>
    <row r="36" spans="2:5">
      <c r="B36" s="28" t="s">
        <v>132</v>
      </c>
      <c r="C36" s="27">
        <v>3</v>
      </c>
      <c r="D36" s="27">
        <v>28</v>
      </c>
      <c r="E36" s="30">
        <v>0.81</v>
      </c>
    </row>
    <row r="37" spans="2:5">
      <c r="B37" s="28" t="s">
        <v>129</v>
      </c>
      <c r="C37" s="27">
        <v>4</v>
      </c>
      <c r="D37" s="27">
        <v>25</v>
      </c>
      <c r="E37" s="30">
        <v>0.82</v>
      </c>
    </row>
    <row r="38" spans="2:5">
      <c r="B38" s="28" t="s">
        <v>127</v>
      </c>
      <c r="C38" s="27">
        <v>4</v>
      </c>
      <c r="D38" s="27">
        <v>25</v>
      </c>
      <c r="E38" s="30">
        <v>0.8</v>
      </c>
    </row>
    <row r="39" spans="2:5">
      <c r="B39" s="28" t="s">
        <v>131</v>
      </c>
      <c r="C39" s="27">
        <v>4</v>
      </c>
      <c r="D39" s="27">
        <v>23</v>
      </c>
      <c r="E39" s="30">
        <v>1</v>
      </c>
    </row>
    <row r="40" spans="2:5">
      <c r="B40" s="28" t="s">
        <v>133</v>
      </c>
      <c r="C40" s="27">
        <v>4</v>
      </c>
      <c r="D40" s="27">
        <v>20</v>
      </c>
      <c r="E40" s="30">
        <v>0.71</v>
      </c>
    </row>
  </sheetData>
  <sortState ref="A5:E20">
    <sortCondition ref="C5:C20"/>
    <sortCondition descending="1" ref="D5:D20"/>
    <sortCondition descending="1" ref="E5:E20"/>
  </sortState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sqref="A1:XFD1048576"/>
    </sheetView>
  </sheetViews>
  <sheetFormatPr baseColWidth="10" defaultColWidth="10.83203125" defaultRowHeight="18" x14ac:dyDescent="0"/>
  <cols>
    <col min="1" max="1" width="19.5" style="2" bestFit="1" customWidth="1"/>
    <col min="2" max="2" width="13.1640625" style="2" bestFit="1" customWidth="1"/>
    <col min="3" max="3" width="7.83203125" style="3" customWidth="1"/>
    <col min="4" max="4" width="7.83203125" style="3" bestFit="1" customWidth="1"/>
    <col min="5" max="7" width="6.1640625" style="3" customWidth="1"/>
    <col min="8" max="8" width="6.5" style="3" bestFit="1" customWidth="1"/>
    <col min="9" max="10" width="7.33203125" style="2" bestFit="1" customWidth="1"/>
    <col min="11" max="11" width="6.5" style="2" bestFit="1" customWidth="1"/>
    <col min="12" max="16384" width="10.83203125" style="2"/>
  </cols>
  <sheetData>
    <row r="1" spans="1:15">
      <c r="A1" s="1" t="s">
        <v>0</v>
      </c>
    </row>
    <row r="2" spans="1:15">
      <c r="A2" s="2" t="s">
        <v>1</v>
      </c>
      <c r="B2" s="4">
        <v>45032</v>
      </c>
    </row>
    <row r="4" spans="1:15">
      <c r="A4" s="5" t="s">
        <v>24</v>
      </c>
      <c r="D4" s="6" t="s">
        <v>14</v>
      </c>
      <c r="E4" s="54" t="s">
        <v>19</v>
      </c>
      <c r="F4" s="54"/>
      <c r="G4" s="54"/>
      <c r="H4" s="54"/>
    </row>
    <row r="5" spans="1:15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L5" s="22" t="s">
        <v>94</v>
      </c>
      <c r="M5" s="23"/>
      <c r="N5" s="24"/>
      <c r="O5" s="25"/>
    </row>
    <row r="6" spans="1:15">
      <c r="A6" s="8" t="s">
        <v>5</v>
      </c>
      <c r="B6" s="8" t="s">
        <v>6</v>
      </c>
      <c r="C6" s="7">
        <v>2.431</v>
      </c>
      <c r="D6" s="7">
        <v>70</v>
      </c>
      <c r="E6" s="7">
        <v>12</v>
      </c>
      <c r="F6" s="7">
        <v>9</v>
      </c>
      <c r="G6" s="7">
        <v>11</v>
      </c>
      <c r="H6" s="6">
        <f>SUM(E6:G6)</f>
        <v>32</v>
      </c>
      <c r="I6" s="6">
        <v>2</v>
      </c>
      <c r="L6" s="14" t="s">
        <v>95</v>
      </c>
      <c r="M6" s="15" t="s">
        <v>99</v>
      </c>
      <c r="N6" s="16"/>
      <c r="O6" s="17"/>
    </row>
    <row r="7" spans="1:15">
      <c r="A7" s="8" t="s">
        <v>7</v>
      </c>
      <c r="B7" s="8" t="s">
        <v>8</v>
      </c>
      <c r="C7" s="7">
        <v>2.387</v>
      </c>
      <c r="D7" s="7">
        <v>70</v>
      </c>
      <c r="E7" s="7">
        <v>7</v>
      </c>
      <c r="F7" s="7">
        <v>12</v>
      </c>
      <c r="G7" s="7">
        <v>11</v>
      </c>
      <c r="H7" s="6">
        <f t="shared" ref="H7:H9" si="0">SUM(E7:G7)</f>
        <v>30</v>
      </c>
      <c r="I7" s="6">
        <v>3</v>
      </c>
      <c r="L7" s="18" t="s">
        <v>97</v>
      </c>
      <c r="M7" s="19" t="s">
        <v>100</v>
      </c>
      <c r="N7" s="20"/>
      <c r="O7" s="21"/>
    </row>
    <row r="8" spans="1:15">
      <c r="A8" s="8" t="s">
        <v>9</v>
      </c>
      <c r="B8" s="8" t="s">
        <v>10</v>
      </c>
      <c r="C8" s="7">
        <v>2.375</v>
      </c>
      <c r="D8" s="7">
        <v>70</v>
      </c>
      <c r="E8" s="7">
        <v>12</v>
      </c>
      <c r="F8" s="7">
        <v>12</v>
      </c>
      <c r="G8" s="7">
        <v>12</v>
      </c>
      <c r="H8" s="6">
        <f t="shared" si="0"/>
        <v>36</v>
      </c>
      <c r="I8" s="6">
        <v>1</v>
      </c>
    </row>
    <row r="9" spans="1:15">
      <c r="A9" s="8" t="s">
        <v>11</v>
      </c>
      <c r="B9" s="8" t="s">
        <v>12</v>
      </c>
      <c r="C9" s="7">
        <v>1.611</v>
      </c>
      <c r="D9" s="7">
        <v>53</v>
      </c>
      <c r="E9" s="7">
        <v>5</v>
      </c>
      <c r="F9" s="7">
        <v>7</v>
      </c>
      <c r="G9" s="7">
        <v>6</v>
      </c>
      <c r="H9" s="6">
        <f t="shared" si="0"/>
        <v>18</v>
      </c>
      <c r="I9" s="6">
        <v>4</v>
      </c>
    </row>
    <row r="11" spans="1:15">
      <c r="A11" s="49" t="s">
        <v>13</v>
      </c>
      <c r="B11" s="50"/>
      <c r="C11" s="51" t="s">
        <v>16</v>
      </c>
      <c r="D11" s="52"/>
      <c r="E11" s="6" t="s">
        <v>26</v>
      </c>
      <c r="F11" s="51" t="s">
        <v>17</v>
      </c>
      <c r="G11" s="52"/>
      <c r="H11" s="51" t="s">
        <v>18</v>
      </c>
      <c r="I11" s="52"/>
    </row>
    <row r="12" spans="1:15">
      <c r="A12" s="8" t="s">
        <v>9</v>
      </c>
      <c r="B12" s="8" t="s">
        <v>7</v>
      </c>
      <c r="C12" s="7">
        <v>70</v>
      </c>
      <c r="D12" s="7">
        <v>53</v>
      </c>
      <c r="E12" s="7">
        <v>30</v>
      </c>
      <c r="F12" s="7">
        <v>12</v>
      </c>
      <c r="G12" s="7">
        <v>7</v>
      </c>
      <c r="H12" s="10">
        <v>1</v>
      </c>
      <c r="I12" s="10">
        <f>D12/D7</f>
        <v>0.75714285714285712</v>
      </c>
    </row>
    <row r="13" spans="1:15">
      <c r="A13" s="8" t="s">
        <v>11</v>
      </c>
      <c r="B13" s="8" t="s">
        <v>5</v>
      </c>
      <c r="C13" s="7">
        <v>27</v>
      </c>
      <c r="D13" s="7">
        <v>70</v>
      </c>
      <c r="E13" s="7">
        <v>18</v>
      </c>
      <c r="F13" s="7">
        <v>5</v>
      </c>
      <c r="G13" s="7">
        <v>12</v>
      </c>
      <c r="H13" s="10">
        <f>C13/D9</f>
        <v>0.50943396226415094</v>
      </c>
      <c r="I13" s="10">
        <v>1</v>
      </c>
    </row>
    <row r="14" spans="1:15">
      <c r="A14" s="8" t="s">
        <v>5</v>
      </c>
      <c r="B14" s="8" t="s">
        <v>9</v>
      </c>
      <c r="C14" s="7">
        <v>65</v>
      </c>
      <c r="D14" s="7">
        <v>70</v>
      </c>
      <c r="E14" s="7">
        <v>27</v>
      </c>
      <c r="F14" s="7">
        <v>9</v>
      </c>
      <c r="G14" s="7">
        <v>12</v>
      </c>
      <c r="H14" s="10">
        <f>C14/D6</f>
        <v>0.9285714285714286</v>
      </c>
      <c r="I14" s="10">
        <v>1</v>
      </c>
    </row>
    <row r="15" spans="1:15">
      <c r="A15" s="8" t="s">
        <v>7</v>
      </c>
      <c r="B15" s="8" t="s">
        <v>11</v>
      </c>
      <c r="C15" s="7">
        <v>70</v>
      </c>
      <c r="D15" s="7">
        <v>41</v>
      </c>
      <c r="E15" s="7">
        <v>23</v>
      </c>
      <c r="F15" s="7">
        <v>12</v>
      </c>
      <c r="G15" s="7">
        <v>7</v>
      </c>
      <c r="H15" s="10">
        <v>1</v>
      </c>
      <c r="I15" s="10">
        <f>D15/D9</f>
        <v>0.77358490566037741</v>
      </c>
    </row>
    <row r="16" spans="1:15">
      <c r="A16" s="8" t="s">
        <v>11</v>
      </c>
      <c r="B16" s="8" t="s">
        <v>9</v>
      </c>
      <c r="C16" s="7">
        <v>35</v>
      </c>
      <c r="D16" s="7">
        <v>70</v>
      </c>
      <c r="E16" s="7">
        <v>23</v>
      </c>
      <c r="F16" s="7">
        <v>6</v>
      </c>
      <c r="G16" s="7">
        <v>12</v>
      </c>
      <c r="H16" s="10">
        <f>C16/D9</f>
        <v>0.660377358490566</v>
      </c>
      <c r="I16" s="10">
        <v>1</v>
      </c>
    </row>
    <row r="17" spans="1:11">
      <c r="A17" s="8" t="s">
        <v>7</v>
      </c>
      <c r="B17" s="8" t="s">
        <v>5</v>
      </c>
      <c r="C17" s="7">
        <v>70</v>
      </c>
      <c r="D17" s="7">
        <v>70</v>
      </c>
      <c r="E17" s="7">
        <v>24</v>
      </c>
      <c r="F17" s="7">
        <v>11</v>
      </c>
      <c r="G17" s="7">
        <v>11</v>
      </c>
      <c r="H17" s="10">
        <v>1</v>
      </c>
      <c r="I17" s="10">
        <v>1</v>
      </c>
    </row>
    <row r="19" spans="1:11"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</row>
    <row r="20" spans="1:11">
      <c r="B20" s="8" t="s">
        <v>5</v>
      </c>
      <c r="C20" s="7">
        <v>70</v>
      </c>
      <c r="D20" s="7">
        <v>65</v>
      </c>
      <c r="E20" s="7">
        <v>70</v>
      </c>
      <c r="F20" s="7">
        <f>SUM(C20:E20)</f>
        <v>205</v>
      </c>
      <c r="G20" s="7">
        <f>3*D6</f>
        <v>210</v>
      </c>
      <c r="H20" s="7">
        <f>E13+E14+E17</f>
        <v>69</v>
      </c>
      <c r="I20" s="9">
        <f>F20/H20</f>
        <v>2.9710144927536231</v>
      </c>
      <c r="J20" s="13">
        <f>I20/C6</f>
        <v>1.2221367720088947</v>
      </c>
      <c r="K20" s="12">
        <f>F20/G20</f>
        <v>0.97619047619047616</v>
      </c>
    </row>
    <row r="21" spans="1:11">
      <c r="B21" s="8" t="s">
        <v>7</v>
      </c>
      <c r="C21" s="7">
        <v>53</v>
      </c>
      <c r="D21" s="7">
        <v>70</v>
      </c>
      <c r="E21" s="7">
        <v>70</v>
      </c>
      <c r="F21" s="7">
        <f t="shared" ref="F21:F23" si="1">SUM(C21:E21)</f>
        <v>193</v>
      </c>
      <c r="G21" s="7">
        <f t="shared" ref="G21:G23" si="2">3*D7</f>
        <v>210</v>
      </c>
      <c r="H21" s="7">
        <f>E12+E15+E17</f>
        <v>77</v>
      </c>
      <c r="I21" s="9">
        <f t="shared" ref="I21:I23" si="3">F21/H21</f>
        <v>2.5064935064935066</v>
      </c>
      <c r="J21" s="13">
        <f>I21/C7</f>
        <v>1.0500601200224158</v>
      </c>
      <c r="K21" s="12">
        <f>F21/G21</f>
        <v>0.919047619047619</v>
      </c>
    </row>
    <row r="22" spans="1:11">
      <c r="B22" s="8" t="s">
        <v>9</v>
      </c>
      <c r="C22" s="7">
        <v>70</v>
      </c>
      <c r="D22" s="7">
        <v>70</v>
      </c>
      <c r="E22" s="7">
        <v>70</v>
      </c>
      <c r="F22" s="7">
        <f t="shared" si="1"/>
        <v>210</v>
      </c>
      <c r="G22" s="7">
        <f t="shared" si="2"/>
        <v>210</v>
      </c>
      <c r="H22" s="7">
        <f>E12+E14+E16</f>
        <v>80</v>
      </c>
      <c r="I22" s="9">
        <f t="shared" si="3"/>
        <v>2.625</v>
      </c>
      <c r="J22" s="13">
        <f>I22/C8</f>
        <v>1.1052631578947369</v>
      </c>
      <c r="K22" s="12">
        <f>F22/G22</f>
        <v>1</v>
      </c>
    </row>
    <row r="23" spans="1:11">
      <c r="B23" s="8" t="s">
        <v>11</v>
      </c>
      <c r="C23" s="7">
        <v>27</v>
      </c>
      <c r="D23" s="7">
        <v>41</v>
      </c>
      <c r="E23" s="7">
        <v>35</v>
      </c>
      <c r="F23" s="7">
        <f t="shared" si="1"/>
        <v>103</v>
      </c>
      <c r="G23" s="7">
        <f t="shared" si="2"/>
        <v>159</v>
      </c>
      <c r="H23" s="7">
        <f>E13+E15+E16</f>
        <v>64</v>
      </c>
      <c r="I23" s="9">
        <f t="shared" si="3"/>
        <v>1.609375</v>
      </c>
      <c r="J23" s="13">
        <f>I23/C9</f>
        <v>0.99899130974549966</v>
      </c>
      <c r="K23" s="12">
        <f>F23/G23</f>
        <v>0.64779874213836475</v>
      </c>
    </row>
  </sheetData>
  <mergeCells count="5">
    <mergeCell ref="E4:H4"/>
    <mergeCell ref="C11:D11"/>
    <mergeCell ref="A11:B11"/>
    <mergeCell ref="H11:I11"/>
    <mergeCell ref="F11:G11"/>
  </mergeCells>
  <phoneticPr fontId="6" type="noConversion"/>
  <pageMargins left="0.75" right="0.75" top="1" bottom="1" header="0.5" footer="0.5"/>
  <pageSetup paperSize="9" orientation="portrait" horizontalDpi="4294967292" verticalDpi="4294967292"/>
  <ignoredErrors>
    <ignoredError sqref="H6:H9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XFD1048576"/>
    </sheetView>
  </sheetViews>
  <sheetFormatPr baseColWidth="10" defaultColWidth="8.83203125" defaultRowHeight="15" x14ac:dyDescent="0"/>
  <cols>
    <col min="1" max="1" width="20" bestFit="1" customWidth="1"/>
    <col min="2" max="2" width="13.33203125" bestFit="1" customWidth="1"/>
    <col min="6" max="6" width="9.6640625" bestFit="1" customWidth="1"/>
  </cols>
  <sheetData>
    <row r="1" spans="1:14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4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4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4" ht="18">
      <c r="A4" s="5" t="s">
        <v>24</v>
      </c>
      <c r="B4" s="2"/>
      <c r="C4" s="3"/>
      <c r="D4" s="6" t="s">
        <v>14</v>
      </c>
      <c r="E4" s="54" t="s">
        <v>19</v>
      </c>
      <c r="F4" s="54"/>
      <c r="G4" s="54"/>
      <c r="H4" s="54"/>
      <c r="I4" s="2"/>
      <c r="J4" s="2"/>
      <c r="K4" s="22" t="s">
        <v>94</v>
      </c>
      <c r="L4" s="23"/>
      <c r="M4" s="24"/>
      <c r="N4" s="25"/>
    </row>
    <row r="5" spans="1:14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14" t="s">
        <v>95</v>
      </c>
      <c r="L5" s="15" t="s">
        <v>101</v>
      </c>
      <c r="M5" s="16"/>
      <c r="N5" s="17"/>
    </row>
    <row r="6" spans="1:14" ht="18">
      <c r="A6" s="8" t="s">
        <v>40</v>
      </c>
      <c r="B6" s="8" t="s">
        <v>41</v>
      </c>
      <c r="C6" s="7">
        <v>3.2879999999999998</v>
      </c>
      <c r="D6" s="7">
        <v>90</v>
      </c>
      <c r="E6" s="7">
        <v>5</v>
      </c>
      <c r="F6" s="7">
        <v>9</v>
      </c>
      <c r="G6" s="7">
        <v>8</v>
      </c>
      <c r="H6" s="6">
        <f>SUM(E6:G6)</f>
        <v>22</v>
      </c>
      <c r="I6" s="6">
        <v>4</v>
      </c>
      <c r="J6" s="2"/>
      <c r="K6" s="18" t="s">
        <v>97</v>
      </c>
      <c r="L6" s="19" t="s">
        <v>102</v>
      </c>
      <c r="M6" s="20"/>
      <c r="N6" s="21"/>
    </row>
    <row r="7" spans="1:14" ht="18">
      <c r="A7" s="8" t="s">
        <v>42</v>
      </c>
      <c r="B7" s="8" t="s">
        <v>43</v>
      </c>
      <c r="C7" s="7">
        <v>1.861</v>
      </c>
      <c r="D7" s="7">
        <v>59</v>
      </c>
      <c r="E7" s="7">
        <v>8</v>
      </c>
      <c r="F7" s="7">
        <v>12</v>
      </c>
      <c r="G7" s="7">
        <v>12</v>
      </c>
      <c r="H7" s="6">
        <f t="shared" ref="H7:H9" si="0">SUM(E7:G7)</f>
        <v>32</v>
      </c>
      <c r="I7" s="6">
        <v>2</v>
      </c>
      <c r="J7" s="2"/>
    </row>
    <row r="8" spans="1:14" ht="18">
      <c r="A8" s="8" t="s">
        <v>44</v>
      </c>
      <c r="B8" s="8" t="s">
        <v>45</v>
      </c>
      <c r="C8" s="7">
        <v>1.923</v>
      </c>
      <c r="D8" s="7">
        <v>62</v>
      </c>
      <c r="E8" s="7">
        <v>12</v>
      </c>
      <c r="F8" s="7">
        <v>12</v>
      </c>
      <c r="G8" s="7">
        <v>8</v>
      </c>
      <c r="H8" s="6">
        <f t="shared" si="0"/>
        <v>32</v>
      </c>
      <c r="I8" s="6">
        <v>1</v>
      </c>
      <c r="J8" s="2"/>
      <c r="K8" s="2"/>
      <c r="L8" s="2"/>
    </row>
    <row r="9" spans="1:14" ht="18">
      <c r="A9" s="8" t="s">
        <v>46</v>
      </c>
      <c r="B9" s="8" t="s">
        <v>47</v>
      </c>
      <c r="C9" s="7">
        <v>2.5529999999999999</v>
      </c>
      <c r="D9" s="7">
        <v>75</v>
      </c>
      <c r="E9" s="7">
        <v>8</v>
      </c>
      <c r="F9" s="7">
        <v>3</v>
      </c>
      <c r="G9" s="7">
        <v>12</v>
      </c>
      <c r="H9" s="6">
        <f t="shared" si="0"/>
        <v>23</v>
      </c>
      <c r="I9" s="6">
        <v>3</v>
      </c>
      <c r="J9" s="2"/>
      <c r="K9" s="2"/>
      <c r="L9" s="2"/>
    </row>
    <row r="10" spans="1:14" ht="18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4" ht="18">
      <c r="A11" s="49" t="s">
        <v>13</v>
      </c>
      <c r="B11" s="50"/>
      <c r="C11" s="51" t="s">
        <v>16</v>
      </c>
      <c r="D11" s="52"/>
      <c r="E11" s="6" t="s">
        <v>26</v>
      </c>
      <c r="F11" s="51" t="s">
        <v>17</v>
      </c>
      <c r="G11" s="52"/>
      <c r="H11" s="51" t="s">
        <v>18</v>
      </c>
      <c r="I11" s="52"/>
      <c r="J11" s="2"/>
      <c r="K11" s="2"/>
      <c r="L11" s="2"/>
    </row>
    <row r="12" spans="1:14" ht="18">
      <c r="A12" s="8" t="s">
        <v>48</v>
      </c>
      <c r="B12" s="8" t="s">
        <v>46</v>
      </c>
      <c r="C12" s="7">
        <v>51</v>
      </c>
      <c r="D12" s="7">
        <v>75</v>
      </c>
      <c r="E12" s="7">
        <v>37</v>
      </c>
      <c r="F12" s="7">
        <v>8</v>
      </c>
      <c r="G12" s="7">
        <v>12</v>
      </c>
      <c r="H12" s="10">
        <f>51/59</f>
        <v>0.86440677966101698</v>
      </c>
      <c r="I12" s="10">
        <f>75/75</f>
        <v>1</v>
      </c>
      <c r="J12" s="2"/>
      <c r="K12" s="2"/>
      <c r="L12" s="2"/>
    </row>
    <row r="13" spans="1:14" ht="18">
      <c r="A13" s="8" t="s">
        <v>44</v>
      </c>
      <c r="B13" s="8" t="s">
        <v>49</v>
      </c>
      <c r="C13" s="7">
        <v>62</v>
      </c>
      <c r="D13" s="7">
        <v>51</v>
      </c>
      <c r="E13" s="7">
        <v>23</v>
      </c>
      <c r="F13" s="7">
        <v>12</v>
      </c>
      <c r="G13" s="7">
        <v>5</v>
      </c>
      <c r="H13" s="10">
        <v>1</v>
      </c>
      <c r="I13" s="10">
        <f>51/90</f>
        <v>0.56666666666666665</v>
      </c>
      <c r="J13" s="2"/>
      <c r="K13" s="2"/>
      <c r="L13" s="2"/>
    </row>
    <row r="14" spans="1:14" ht="18">
      <c r="A14" s="8" t="s">
        <v>48</v>
      </c>
      <c r="B14" s="8" t="s">
        <v>49</v>
      </c>
      <c r="C14" s="7">
        <v>59</v>
      </c>
      <c r="D14" s="7">
        <v>88</v>
      </c>
      <c r="E14" s="7">
        <v>27</v>
      </c>
      <c r="F14" s="7">
        <v>12</v>
      </c>
      <c r="G14" s="7">
        <v>9</v>
      </c>
      <c r="H14" s="10">
        <v>1</v>
      </c>
      <c r="I14" s="10">
        <f>88/90</f>
        <v>0.97777777777777775</v>
      </c>
      <c r="J14" s="2"/>
      <c r="K14" s="2"/>
      <c r="L14" s="2"/>
    </row>
    <row r="15" spans="1:14" ht="18">
      <c r="A15" s="8" t="s">
        <v>44</v>
      </c>
      <c r="B15" s="8" t="s">
        <v>46</v>
      </c>
      <c r="C15" s="7">
        <v>62</v>
      </c>
      <c r="D15" s="7">
        <v>26</v>
      </c>
      <c r="E15" s="7">
        <v>22</v>
      </c>
      <c r="F15" s="7">
        <v>12</v>
      </c>
      <c r="G15" s="7">
        <v>3</v>
      </c>
      <c r="H15" s="10">
        <v>1</v>
      </c>
      <c r="I15" s="10">
        <f>23/75</f>
        <v>0.30666666666666664</v>
      </c>
      <c r="J15" s="2"/>
      <c r="K15" s="2"/>
      <c r="L15" s="2"/>
    </row>
    <row r="16" spans="1:14" ht="18">
      <c r="A16" s="8" t="s">
        <v>46</v>
      </c>
      <c r="B16" s="8" t="s">
        <v>49</v>
      </c>
      <c r="C16" s="7">
        <v>75</v>
      </c>
      <c r="D16" s="7">
        <v>75</v>
      </c>
      <c r="E16" s="7">
        <v>27</v>
      </c>
      <c r="F16" s="7">
        <v>12</v>
      </c>
      <c r="G16" s="7">
        <v>8</v>
      </c>
      <c r="H16" s="10">
        <v>1</v>
      </c>
      <c r="I16" s="10">
        <f>75/90</f>
        <v>0.83333333333333337</v>
      </c>
      <c r="J16" s="2"/>
      <c r="K16" s="2"/>
      <c r="L16" s="2"/>
    </row>
    <row r="17" spans="1:12" ht="18">
      <c r="A17" s="8" t="s">
        <v>42</v>
      </c>
      <c r="B17" s="8" t="s">
        <v>44</v>
      </c>
      <c r="C17" s="7">
        <v>59</v>
      </c>
      <c r="D17" s="7">
        <v>52</v>
      </c>
      <c r="E17" s="7">
        <v>27</v>
      </c>
      <c r="F17" s="7">
        <v>12</v>
      </c>
      <c r="G17" s="7">
        <v>8</v>
      </c>
      <c r="H17" s="10">
        <v>1</v>
      </c>
      <c r="I17" s="10">
        <f>52/62</f>
        <v>0.83870967741935487</v>
      </c>
      <c r="J17" s="2"/>
      <c r="K17" s="2"/>
      <c r="L17" s="2"/>
    </row>
    <row r="18" spans="1:12" ht="18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>
      <c r="A20" s="2"/>
      <c r="B20" s="8" t="str">
        <f>A6</f>
        <v xml:space="preserve">Dorus </v>
      </c>
      <c r="C20" s="7">
        <v>51</v>
      </c>
      <c r="D20" s="7">
        <v>88</v>
      </c>
      <c r="E20" s="7">
        <v>75</v>
      </c>
      <c r="F20" s="7">
        <f>SUM(C20:E20)</f>
        <v>214</v>
      </c>
      <c r="G20" s="7">
        <f t="shared" ref="G20:G23" si="1">3*D6</f>
        <v>270</v>
      </c>
      <c r="H20" s="7">
        <f>E13+E14+E17</f>
        <v>77</v>
      </c>
      <c r="I20" s="9">
        <f>F20/H20</f>
        <v>2.779220779220779</v>
      </c>
      <c r="J20" s="13">
        <f>I20/C6</f>
        <v>0.84526179416690361</v>
      </c>
      <c r="K20" s="12">
        <f>F20/G20</f>
        <v>0.79259259259259263</v>
      </c>
      <c r="L20" s="2"/>
    </row>
    <row r="21" spans="1:12" ht="18">
      <c r="A21" s="2"/>
      <c r="B21" s="8" t="str">
        <f t="shared" ref="B21:B23" si="2">A7</f>
        <v xml:space="preserve">Erik </v>
      </c>
      <c r="C21" s="7">
        <v>51</v>
      </c>
      <c r="D21" s="7">
        <v>59</v>
      </c>
      <c r="E21" s="7">
        <v>59</v>
      </c>
      <c r="F21" s="7">
        <f t="shared" ref="F21:F23" si="3">SUM(C21:E21)</f>
        <v>169</v>
      </c>
      <c r="G21" s="7">
        <f t="shared" si="1"/>
        <v>177</v>
      </c>
      <c r="H21" s="7">
        <f>E12+E14+E17</f>
        <v>91</v>
      </c>
      <c r="I21" s="9">
        <f t="shared" ref="I21:I23" si="4">F21/H21</f>
        <v>1.8571428571428572</v>
      </c>
      <c r="J21" s="13">
        <f>I21/C7</f>
        <v>0.99792738159207806</v>
      </c>
      <c r="K21" s="12">
        <f>F21/G21</f>
        <v>0.95480225988700562</v>
      </c>
      <c r="L21" s="2"/>
    </row>
    <row r="22" spans="1:12" ht="18">
      <c r="A22" s="2"/>
      <c r="B22" s="8" t="str">
        <f t="shared" si="2"/>
        <v>Piet</v>
      </c>
      <c r="C22" s="7">
        <v>62</v>
      </c>
      <c r="D22" s="7">
        <v>62</v>
      </c>
      <c r="E22" s="7">
        <v>52</v>
      </c>
      <c r="F22" s="7">
        <f t="shared" si="3"/>
        <v>176</v>
      </c>
      <c r="G22" s="7">
        <f t="shared" si="1"/>
        <v>186</v>
      </c>
      <c r="H22" s="7">
        <f>E13+E15+E17</f>
        <v>72</v>
      </c>
      <c r="I22" s="9">
        <f t="shared" si="4"/>
        <v>2.4444444444444446</v>
      </c>
      <c r="J22" s="13">
        <f>I22/C8</f>
        <v>1.2711619575894149</v>
      </c>
      <c r="K22" s="12">
        <f>F22/G22</f>
        <v>0.94623655913978499</v>
      </c>
      <c r="L22" s="2"/>
    </row>
    <row r="23" spans="1:12" ht="18">
      <c r="A23" s="2"/>
      <c r="B23" s="8" t="str">
        <f t="shared" si="2"/>
        <v>Richard</v>
      </c>
      <c r="C23" s="7">
        <v>27</v>
      </c>
      <c r="D23" s="7">
        <v>41</v>
      </c>
      <c r="E23" s="7">
        <v>35</v>
      </c>
      <c r="F23" s="7">
        <f t="shared" si="3"/>
        <v>103</v>
      </c>
      <c r="G23" s="7">
        <f t="shared" si="1"/>
        <v>225</v>
      </c>
      <c r="H23" s="7">
        <f>E13+E15+E16</f>
        <v>72</v>
      </c>
      <c r="I23" s="9">
        <f t="shared" si="4"/>
        <v>1.4305555555555556</v>
      </c>
      <c r="J23" s="13">
        <f>I23/C9</f>
        <v>0.56034295164729953</v>
      </c>
      <c r="K23" s="12">
        <f>F23/G23</f>
        <v>0.45777777777777778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5">
    <mergeCell ref="E4:H4"/>
    <mergeCell ref="A11:B11"/>
    <mergeCell ref="C11:D11"/>
    <mergeCell ref="F11:G11"/>
    <mergeCell ref="H11:I11"/>
  </mergeCells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XFD1048576"/>
    </sheetView>
  </sheetViews>
  <sheetFormatPr baseColWidth="10" defaultColWidth="8.83203125" defaultRowHeight="15" x14ac:dyDescent="0"/>
  <cols>
    <col min="1" max="1" width="20" bestFit="1" customWidth="1"/>
    <col min="2" max="2" width="13.83203125" bestFit="1" customWidth="1"/>
    <col min="6" max="6" width="9.6640625" bestFit="1" customWidth="1"/>
  </cols>
  <sheetData>
    <row r="1" spans="1:14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4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4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4" ht="18">
      <c r="A4" s="5" t="s">
        <v>24</v>
      </c>
      <c r="B4" s="2"/>
      <c r="C4" s="3"/>
      <c r="D4" s="6" t="s">
        <v>14</v>
      </c>
      <c r="E4" s="54" t="s">
        <v>19</v>
      </c>
      <c r="F4" s="54"/>
      <c r="G4" s="54"/>
      <c r="H4" s="54"/>
      <c r="I4" s="2"/>
      <c r="J4" s="2"/>
      <c r="K4" s="22" t="s">
        <v>94</v>
      </c>
      <c r="L4" s="23"/>
      <c r="M4" s="24"/>
      <c r="N4" s="25"/>
    </row>
    <row r="5" spans="1:14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14" t="s">
        <v>95</v>
      </c>
      <c r="L5" s="15" t="s">
        <v>103</v>
      </c>
      <c r="M5" s="16"/>
      <c r="N5" s="17"/>
    </row>
    <row r="6" spans="1:14" ht="18">
      <c r="A6" s="8" t="s">
        <v>51</v>
      </c>
      <c r="B6" s="8" t="s">
        <v>52</v>
      </c>
      <c r="C6" s="7">
        <v>1.8129999999999999</v>
      </c>
      <c r="D6" s="7">
        <v>59</v>
      </c>
      <c r="E6" s="7">
        <v>12</v>
      </c>
      <c r="F6" s="7">
        <v>7</v>
      </c>
      <c r="G6" s="7">
        <v>12</v>
      </c>
      <c r="H6" s="6">
        <f>SUM(E6:G6)</f>
        <v>31</v>
      </c>
      <c r="I6" s="6">
        <v>2</v>
      </c>
      <c r="J6" s="2"/>
      <c r="K6" s="18" t="s">
        <v>97</v>
      </c>
      <c r="L6" s="19" t="s">
        <v>104</v>
      </c>
      <c r="M6" s="20"/>
      <c r="N6" s="21"/>
    </row>
    <row r="7" spans="1:14" ht="18">
      <c r="A7" s="8" t="s">
        <v>53</v>
      </c>
      <c r="B7" s="8" t="s">
        <v>54</v>
      </c>
      <c r="C7" s="7">
        <v>7.2270000000000003</v>
      </c>
      <c r="D7" s="7">
        <v>160</v>
      </c>
      <c r="E7" s="7">
        <v>8</v>
      </c>
      <c r="F7" s="7">
        <v>12</v>
      </c>
      <c r="G7" s="7">
        <v>6</v>
      </c>
      <c r="H7" s="6">
        <f t="shared" ref="H7:H9" si="0">SUM(E7:G7)</f>
        <v>26</v>
      </c>
      <c r="I7" s="6">
        <v>3</v>
      </c>
      <c r="J7" s="2"/>
      <c r="K7" s="2"/>
      <c r="L7" s="2"/>
    </row>
    <row r="8" spans="1:14" ht="18">
      <c r="A8" s="8" t="s">
        <v>55</v>
      </c>
      <c r="B8" s="8" t="s">
        <v>56</v>
      </c>
      <c r="C8" s="7">
        <v>1.696</v>
      </c>
      <c r="D8" s="7">
        <v>53</v>
      </c>
      <c r="E8" s="7">
        <v>12</v>
      </c>
      <c r="F8" s="7">
        <v>12</v>
      </c>
      <c r="G8" s="7">
        <v>12</v>
      </c>
      <c r="H8" s="6">
        <f t="shared" si="0"/>
        <v>36</v>
      </c>
      <c r="I8" s="6">
        <v>1</v>
      </c>
      <c r="J8" s="2"/>
      <c r="K8" s="2"/>
      <c r="L8" s="2"/>
    </row>
    <row r="9" spans="1:14" ht="18">
      <c r="A9" s="8" t="s">
        <v>57</v>
      </c>
      <c r="B9" s="8" t="s">
        <v>58</v>
      </c>
      <c r="C9" s="7">
        <v>1.421</v>
      </c>
      <c r="D9" s="7">
        <v>53</v>
      </c>
      <c r="E9" s="7">
        <v>5</v>
      </c>
      <c r="F9" s="7">
        <v>6</v>
      </c>
      <c r="G9" s="7">
        <v>5</v>
      </c>
      <c r="H9" s="6">
        <f t="shared" si="0"/>
        <v>16</v>
      </c>
      <c r="I9" s="6">
        <v>4</v>
      </c>
      <c r="J9" s="2"/>
      <c r="K9" s="2"/>
      <c r="L9" s="2"/>
    </row>
    <row r="10" spans="1:14" ht="18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4" ht="18">
      <c r="A11" s="49" t="s">
        <v>13</v>
      </c>
      <c r="B11" s="50"/>
      <c r="C11" s="51" t="s">
        <v>16</v>
      </c>
      <c r="D11" s="52"/>
      <c r="E11" s="6" t="s">
        <v>26</v>
      </c>
      <c r="F11" s="51" t="s">
        <v>17</v>
      </c>
      <c r="G11" s="52"/>
      <c r="H11" s="51" t="s">
        <v>18</v>
      </c>
      <c r="I11" s="52"/>
      <c r="J11" s="2"/>
      <c r="K11" s="2"/>
      <c r="L11" s="2"/>
    </row>
    <row r="12" spans="1:14" ht="18">
      <c r="A12" s="8" t="s">
        <v>53</v>
      </c>
      <c r="B12" s="8" t="s">
        <v>59</v>
      </c>
      <c r="C12" s="7">
        <v>132</v>
      </c>
      <c r="D12" s="7">
        <v>53</v>
      </c>
      <c r="E12" s="7">
        <v>23</v>
      </c>
      <c r="F12" s="7">
        <v>8</v>
      </c>
      <c r="G12" s="7">
        <v>12</v>
      </c>
      <c r="H12" s="10">
        <f>132/160</f>
        <v>0.82499999999999996</v>
      </c>
      <c r="I12" s="10">
        <v>1</v>
      </c>
      <c r="J12" s="2"/>
      <c r="K12" s="2"/>
      <c r="L12" s="2"/>
    </row>
    <row r="13" spans="1:14" ht="18">
      <c r="A13" s="8" t="s">
        <v>57</v>
      </c>
      <c r="B13" s="8" t="s">
        <v>51</v>
      </c>
      <c r="C13" s="7">
        <v>28</v>
      </c>
      <c r="D13" s="7">
        <v>59</v>
      </c>
      <c r="E13" s="7">
        <v>30</v>
      </c>
      <c r="F13" s="7">
        <v>5</v>
      </c>
      <c r="G13" s="7">
        <v>12</v>
      </c>
      <c r="H13" s="10">
        <f>28/53</f>
        <v>0.52830188679245282</v>
      </c>
      <c r="I13" s="10">
        <v>1</v>
      </c>
      <c r="J13" s="2"/>
      <c r="K13" s="2"/>
      <c r="L13" s="2"/>
    </row>
    <row r="14" spans="1:14" ht="18">
      <c r="A14" s="8" t="s">
        <v>57</v>
      </c>
      <c r="B14" s="8" t="s">
        <v>53</v>
      </c>
      <c r="C14" s="7">
        <v>36</v>
      </c>
      <c r="D14" s="7">
        <v>160</v>
      </c>
      <c r="E14" s="7">
        <v>22</v>
      </c>
      <c r="F14" s="7">
        <v>6</v>
      </c>
      <c r="G14" s="7">
        <v>12</v>
      </c>
      <c r="H14" s="10">
        <f>36/53</f>
        <v>0.67924528301886788</v>
      </c>
      <c r="I14" s="10">
        <v>1</v>
      </c>
      <c r="J14" s="2"/>
      <c r="K14" s="2"/>
      <c r="L14" s="2"/>
    </row>
    <row r="15" spans="1:14" ht="18">
      <c r="A15" s="8" t="s">
        <v>51</v>
      </c>
      <c r="B15" s="8" t="s">
        <v>59</v>
      </c>
      <c r="C15" s="7">
        <v>44</v>
      </c>
      <c r="D15" s="7">
        <v>53</v>
      </c>
      <c r="E15" s="7">
        <v>32</v>
      </c>
      <c r="F15" s="7">
        <v>7</v>
      </c>
      <c r="G15" s="7">
        <v>12</v>
      </c>
      <c r="H15" s="10">
        <f>44/59</f>
        <v>0.74576271186440679</v>
      </c>
      <c r="I15" s="10">
        <v>1</v>
      </c>
      <c r="J15" s="2"/>
      <c r="K15" s="2"/>
      <c r="L15" s="2"/>
    </row>
    <row r="16" spans="1:14" ht="18">
      <c r="A16" s="8" t="s">
        <v>57</v>
      </c>
      <c r="B16" s="8" t="s">
        <v>59</v>
      </c>
      <c r="C16" s="7">
        <v>31</v>
      </c>
      <c r="D16" s="7">
        <v>53</v>
      </c>
      <c r="E16" s="7">
        <v>28</v>
      </c>
      <c r="F16" s="7">
        <v>5</v>
      </c>
      <c r="G16" s="7">
        <v>12</v>
      </c>
      <c r="H16" s="10">
        <f>31/53</f>
        <v>0.58490566037735847</v>
      </c>
      <c r="I16" s="10">
        <v>1</v>
      </c>
      <c r="J16" s="2"/>
      <c r="K16" s="2"/>
      <c r="L16" s="2"/>
    </row>
    <row r="17" spans="1:12" ht="18">
      <c r="A17" s="8" t="s">
        <v>53</v>
      </c>
      <c r="B17" s="8" t="s">
        <v>51</v>
      </c>
      <c r="C17" s="7">
        <v>100</v>
      </c>
      <c r="D17" s="7">
        <v>59</v>
      </c>
      <c r="E17" s="7">
        <v>16</v>
      </c>
      <c r="F17" s="7">
        <v>6</v>
      </c>
      <c r="G17" s="7">
        <v>12</v>
      </c>
      <c r="H17" s="10">
        <f>100/160</f>
        <v>0.625</v>
      </c>
      <c r="I17" s="10">
        <v>1</v>
      </c>
      <c r="J17" s="2"/>
      <c r="K17" s="2"/>
      <c r="L17" s="2"/>
    </row>
    <row r="18" spans="1:12" ht="18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>
      <c r="A20" s="2"/>
      <c r="B20" s="8" t="str">
        <f>A6</f>
        <v>Henk</v>
      </c>
      <c r="C20" s="7">
        <v>59</v>
      </c>
      <c r="D20" s="7">
        <v>44</v>
      </c>
      <c r="E20" s="7">
        <v>59</v>
      </c>
      <c r="F20" s="7">
        <f>SUM(C20:E20)</f>
        <v>162</v>
      </c>
      <c r="G20" s="7">
        <f t="shared" ref="G20:G23" si="1">3*D6</f>
        <v>177</v>
      </c>
      <c r="H20" s="7">
        <f>E13+E15+E17</f>
        <v>78</v>
      </c>
      <c r="I20" s="9">
        <f>F20/H20</f>
        <v>2.0769230769230771</v>
      </c>
      <c r="J20" s="13">
        <f>I20/C6</f>
        <v>1.1455725741440028</v>
      </c>
      <c r="K20" s="12">
        <f>F20/G20</f>
        <v>0.9152542372881356</v>
      </c>
      <c r="L20" s="2"/>
    </row>
    <row r="21" spans="1:12" ht="18">
      <c r="A21" s="2"/>
      <c r="B21" s="8" t="str">
        <f t="shared" ref="B21:B23" si="2">A7</f>
        <v>John</v>
      </c>
      <c r="C21" s="7">
        <v>132</v>
      </c>
      <c r="D21" s="7">
        <v>160</v>
      </c>
      <c r="E21" s="7">
        <v>100</v>
      </c>
      <c r="F21" s="7">
        <f t="shared" ref="F21:F23" si="3">SUM(C21:E21)</f>
        <v>392</v>
      </c>
      <c r="G21" s="7">
        <f t="shared" si="1"/>
        <v>480</v>
      </c>
      <c r="H21" s="7">
        <f>E12+E14+E17</f>
        <v>61</v>
      </c>
      <c r="I21" s="9">
        <f t="shared" ref="I21:I23" si="4">F21/H21</f>
        <v>6.4262295081967213</v>
      </c>
      <c r="J21" s="13">
        <f>I21/C7</f>
        <v>0.88919738594115416</v>
      </c>
      <c r="K21" s="12">
        <f>F21/G21</f>
        <v>0.81666666666666665</v>
      </c>
      <c r="L21" s="2"/>
    </row>
    <row r="22" spans="1:12" ht="18">
      <c r="A22" s="2"/>
      <c r="B22" s="8" t="str">
        <f t="shared" si="2"/>
        <v xml:space="preserve">Sander </v>
      </c>
      <c r="C22" s="7">
        <v>53</v>
      </c>
      <c r="D22" s="7">
        <v>53</v>
      </c>
      <c r="E22" s="7">
        <v>53</v>
      </c>
      <c r="F22" s="7">
        <f t="shared" si="3"/>
        <v>159</v>
      </c>
      <c r="G22" s="7">
        <f t="shared" si="1"/>
        <v>159</v>
      </c>
      <c r="H22" s="7">
        <f>E12+E15+E16</f>
        <v>83</v>
      </c>
      <c r="I22" s="9">
        <f t="shared" si="4"/>
        <v>1.9156626506024097</v>
      </c>
      <c r="J22" s="13">
        <f>I22/C8</f>
        <v>1.1295180722891567</v>
      </c>
      <c r="K22" s="12">
        <f>F22/G22</f>
        <v>1</v>
      </c>
      <c r="L22" s="2"/>
    </row>
    <row r="23" spans="1:12" ht="18">
      <c r="A23" s="2"/>
      <c r="B23" s="8" t="str">
        <f t="shared" si="2"/>
        <v>Walter</v>
      </c>
      <c r="C23" s="7">
        <v>28</v>
      </c>
      <c r="D23" s="7">
        <v>36</v>
      </c>
      <c r="E23" s="7">
        <v>31</v>
      </c>
      <c r="F23" s="7">
        <f t="shared" si="3"/>
        <v>95</v>
      </c>
      <c r="G23" s="7">
        <f t="shared" si="1"/>
        <v>159</v>
      </c>
      <c r="H23" s="7">
        <f>E13+E14+E16</f>
        <v>80</v>
      </c>
      <c r="I23" s="9">
        <f t="shared" si="4"/>
        <v>1.1875</v>
      </c>
      <c r="J23" s="13">
        <f>I23/C9</f>
        <v>0.83567909922589723</v>
      </c>
      <c r="K23" s="12">
        <f>F23/G23</f>
        <v>0.59748427672955973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5">
    <mergeCell ref="E4:H4"/>
    <mergeCell ref="A11:B11"/>
    <mergeCell ref="C11:D11"/>
    <mergeCell ref="F11:G11"/>
    <mergeCell ref="H11:I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XFD1048576"/>
    </sheetView>
  </sheetViews>
  <sheetFormatPr baseColWidth="10" defaultColWidth="8.83203125" defaultRowHeight="15" x14ac:dyDescent="0"/>
  <cols>
    <col min="1" max="1" width="20" bestFit="1" customWidth="1"/>
    <col min="2" max="2" width="13.83203125" bestFit="1" customWidth="1"/>
    <col min="6" max="6" width="9.6640625" bestFit="1" customWidth="1"/>
    <col min="7" max="7" width="10.33203125" bestFit="1" customWidth="1"/>
  </cols>
  <sheetData>
    <row r="1" spans="1:14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4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4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4" ht="18">
      <c r="A4" s="5" t="s">
        <v>24</v>
      </c>
      <c r="B4" s="2"/>
      <c r="C4" s="3"/>
      <c r="D4" s="6" t="s">
        <v>14</v>
      </c>
      <c r="E4" s="54" t="s">
        <v>19</v>
      </c>
      <c r="F4" s="54"/>
      <c r="G4" s="54"/>
      <c r="H4" s="54"/>
      <c r="I4" s="2"/>
      <c r="J4" s="2"/>
      <c r="K4" s="22" t="s">
        <v>94</v>
      </c>
      <c r="L4" s="23"/>
      <c r="M4" s="24"/>
      <c r="N4" s="25"/>
    </row>
    <row r="5" spans="1:14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14" t="s">
        <v>95</v>
      </c>
      <c r="L5" s="15" t="s">
        <v>96</v>
      </c>
      <c r="M5" s="16"/>
      <c r="N5" s="17"/>
    </row>
    <row r="6" spans="1:14" ht="18">
      <c r="A6" s="8" t="s">
        <v>60</v>
      </c>
      <c r="B6" s="8" t="s">
        <v>61</v>
      </c>
      <c r="C6" s="7">
        <v>1.9019999999999999</v>
      </c>
      <c r="D6" s="7">
        <v>62</v>
      </c>
      <c r="E6" s="7">
        <v>12</v>
      </c>
      <c r="F6" s="7">
        <v>4</v>
      </c>
      <c r="G6" s="7">
        <v>12</v>
      </c>
      <c r="H6" s="6">
        <f>SUM(E6:G6)</f>
        <v>28</v>
      </c>
      <c r="I6" s="6">
        <v>2</v>
      </c>
      <c r="J6" s="2"/>
      <c r="K6" s="18" t="s">
        <v>97</v>
      </c>
      <c r="L6" s="19" t="s">
        <v>98</v>
      </c>
      <c r="M6" s="20"/>
      <c r="N6" s="21"/>
    </row>
    <row r="7" spans="1:14" ht="18">
      <c r="A7" s="8" t="s">
        <v>62</v>
      </c>
      <c r="B7" s="8" t="s">
        <v>63</v>
      </c>
      <c r="C7" s="9">
        <v>2</v>
      </c>
      <c r="D7" s="7">
        <v>65</v>
      </c>
      <c r="E7" s="7">
        <v>6</v>
      </c>
      <c r="F7" s="7">
        <v>7</v>
      </c>
      <c r="G7" s="7">
        <v>6</v>
      </c>
      <c r="H7" s="6">
        <f t="shared" ref="H7:H9" si="0">SUM(E7:G7)</f>
        <v>19</v>
      </c>
      <c r="I7" s="6">
        <v>4</v>
      </c>
      <c r="J7" s="2"/>
      <c r="K7" s="2"/>
      <c r="L7" s="2"/>
    </row>
    <row r="8" spans="1:14" ht="18">
      <c r="A8" s="8" t="s">
        <v>64</v>
      </c>
      <c r="B8" s="8" t="s">
        <v>65</v>
      </c>
      <c r="C8" s="7">
        <v>1.6459999999999999</v>
      </c>
      <c r="D8" s="7">
        <v>53</v>
      </c>
      <c r="E8" s="7">
        <v>8</v>
      </c>
      <c r="F8" s="7">
        <v>7</v>
      </c>
      <c r="G8" s="7">
        <v>12</v>
      </c>
      <c r="H8" s="6">
        <f t="shared" si="0"/>
        <v>27</v>
      </c>
      <c r="I8" s="6">
        <v>3</v>
      </c>
      <c r="J8" s="2"/>
    </row>
    <row r="9" spans="1:14" ht="18">
      <c r="A9" s="8" t="s">
        <v>93</v>
      </c>
      <c r="B9" s="8" t="s">
        <v>66</v>
      </c>
      <c r="C9" s="7">
        <v>2.35</v>
      </c>
      <c r="D9" s="7">
        <v>70</v>
      </c>
      <c r="E9" s="7">
        <v>12</v>
      </c>
      <c r="F9" s="7">
        <v>12</v>
      </c>
      <c r="G9" s="7">
        <v>12</v>
      </c>
      <c r="H9" s="6">
        <f t="shared" si="0"/>
        <v>36</v>
      </c>
      <c r="I9" s="6">
        <v>1</v>
      </c>
      <c r="J9" s="2"/>
      <c r="K9" s="2"/>
      <c r="L9" s="2"/>
    </row>
    <row r="10" spans="1:14" ht="18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4" ht="18">
      <c r="A11" s="49" t="s">
        <v>13</v>
      </c>
      <c r="B11" s="50"/>
      <c r="C11" s="51" t="s">
        <v>16</v>
      </c>
      <c r="D11" s="52"/>
      <c r="E11" s="6" t="s">
        <v>26</v>
      </c>
      <c r="F11" s="51" t="s">
        <v>17</v>
      </c>
      <c r="G11" s="52"/>
      <c r="H11" s="51" t="s">
        <v>18</v>
      </c>
      <c r="I11" s="52"/>
      <c r="J11" s="2"/>
      <c r="K11" s="2"/>
      <c r="L11" s="2"/>
    </row>
    <row r="12" spans="1:14" ht="18">
      <c r="A12" s="8" t="s">
        <v>64</v>
      </c>
      <c r="B12" s="8" t="s">
        <v>93</v>
      </c>
      <c r="C12" s="7">
        <v>47</v>
      </c>
      <c r="D12" s="7">
        <v>70</v>
      </c>
      <c r="E12" s="7">
        <v>21</v>
      </c>
      <c r="F12" s="7">
        <v>8</v>
      </c>
      <c r="G12" s="7">
        <v>12</v>
      </c>
      <c r="H12" s="10">
        <f>47/53</f>
        <v>0.8867924528301887</v>
      </c>
      <c r="I12" s="10">
        <v>1</v>
      </c>
      <c r="J12" s="2"/>
      <c r="K12" s="2"/>
      <c r="L12" s="2"/>
    </row>
    <row r="13" spans="1:14" ht="18">
      <c r="A13" s="8" t="s">
        <v>60</v>
      </c>
      <c r="B13" s="8" t="s">
        <v>64</v>
      </c>
      <c r="C13" s="7">
        <v>62</v>
      </c>
      <c r="D13" s="7">
        <v>42</v>
      </c>
      <c r="E13" s="7">
        <v>28</v>
      </c>
      <c r="F13" s="7">
        <v>12</v>
      </c>
      <c r="G13" s="7">
        <v>7</v>
      </c>
      <c r="H13" s="10">
        <v>1</v>
      </c>
      <c r="I13" s="10">
        <f>42/53</f>
        <v>0.79245283018867929</v>
      </c>
      <c r="J13" s="2"/>
      <c r="K13" s="2"/>
      <c r="L13" s="2"/>
    </row>
    <row r="14" spans="1:14" ht="18">
      <c r="A14" s="8" t="s">
        <v>93</v>
      </c>
      <c r="B14" s="8" t="s">
        <v>60</v>
      </c>
      <c r="C14" s="7">
        <v>70</v>
      </c>
      <c r="D14" s="7">
        <v>30</v>
      </c>
      <c r="E14" s="7">
        <v>21</v>
      </c>
      <c r="F14" s="7">
        <v>12</v>
      </c>
      <c r="G14" s="7">
        <v>4</v>
      </c>
      <c r="H14" s="10">
        <v>1</v>
      </c>
      <c r="I14" s="10">
        <f>30/62</f>
        <v>0.4838709677419355</v>
      </c>
      <c r="J14" s="2"/>
      <c r="K14" s="2"/>
      <c r="L14" s="2"/>
    </row>
    <row r="15" spans="1:14" ht="18">
      <c r="A15" s="8" t="s">
        <v>64</v>
      </c>
      <c r="B15" s="8" t="s">
        <v>77</v>
      </c>
      <c r="C15" s="7">
        <v>53</v>
      </c>
      <c r="D15" s="7">
        <v>44</v>
      </c>
      <c r="E15" s="7">
        <v>23</v>
      </c>
      <c r="F15" s="7">
        <v>12</v>
      </c>
      <c r="G15" s="7">
        <v>6</v>
      </c>
      <c r="H15" s="10">
        <v>1</v>
      </c>
      <c r="I15" s="10">
        <f>44/65</f>
        <v>0.67692307692307696</v>
      </c>
      <c r="J15" s="2"/>
      <c r="K15" s="2"/>
      <c r="L15" s="2"/>
    </row>
    <row r="16" spans="1:14" ht="18">
      <c r="A16" s="8" t="s">
        <v>77</v>
      </c>
      <c r="B16" s="8" t="s">
        <v>60</v>
      </c>
      <c r="C16" s="7">
        <v>49</v>
      </c>
      <c r="D16" s="7">
        <v>62</v>
      </c>
      <c r="E16" s="7">
        <v>41</v>
      </c>
      <c r="F16" s="7">
        <v>7</v>
      </c>
      <c r="G16" s="7">
        <v>12</v>
      </c>
      <c r="H16" s="10">
        <f>49/65</f>
        <v>0.75384615384615383</v>
      </c>
      <c r="I16" s="10">
        <v>1</v>
      </c>
      <c r="J16" s="2"/>
      <c r="K16" s="2"/>
      <c r="L16" s="2"/>
    </row>
    <row r="17" spans="1:12" ht="18">
      <c r="A17" s="8" t="s">
        <v>93</v>
      </c>
      <c r="B17" s="8" t="s">
        <v>77</v>
      </c>
      <c r="C17" s="7">
        <v>70</v>
      </c>
      <c r="D17" s="7">
        <v>41</v>
      </c>
      <c r="E17" s="7">
        <v>32</v>
      </c>
      <c r="F17" s="7">
        <v>12</v>
      </c>
      <c r="G17" s="7">
        <v>6</v>
      </c>
      <c r="H17" s="10">
        <v>1</v>
      </c>
      <c r="I17" s="10">
        <f>41/65</f>
        <v>0.63076923076923075</v>
      </c>
      <c r="J17" s="2"/>
      <c r="K17" s="2"/>
      <c r="L17" s="2"/>
    </row>
    <row r="18" spans="1:12" ht="18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>
      <c r="A20" s="2"/>
      <c r="B20" s="8" t="str">
        <f>A6</f>
        <v>Anne</v>
      </c>
      <c r="C20" s="7">
        <v>62</v>
      </c>
      <c r="D20" s="7">
        <v>30</v>
      </c>
      <c r="E20" s="7">
        <v>62</v>
      </c>
      <c r="F20" s="7">
        <f>SUM(C20:E20)</f>
        <v>154</v>
      </c>
      <c r="G20" s="7">
        <f t="shared" ref="G20:G23" si="1">3*D6</f>
        <v>186</v>
      </c>
      <c r="H20" s="7">
        <f>E13+E15+E17</f>
        <v>83</v>
      </c>
      <c r="I20" s="9">
        <f>F20/H20</f>
        <v>1.8554216867469879</v>
      </c>
      <c r="J20" s="13">
        <f>I20/C6</f>
        <v>0.97551087631282229</v>
      </c>
      <c r="K20" s="12">
        <f>F20/G20</f>
        <v>0.82795698924731187</v>
      </c>
      <c r="L20" s="2"/>
    </row>
    <row r="21" spans="1:12" ht="18">
      <c r="A21" s="2"/>
      <c r="B21" s="8" t="str">
        <f t="shared" ref="B21:B23" si="2">A7</f>
        <v xml:space="preserve">Bart </v>
      </c>
      <c r="C21" s="7">
        <v>44</v>
      </c>
      <c r="D21" s="7">
        <v>49</v>
      </c>
      <c r="E21" s="7">
        <v>41</v>
      </c>
      <c r="F21" s="7">
        <f t="shared" ref="F21:F23" si="3">SUM(C21:E21)</f>
        <v>134</v>
      </c>
      <c r="G21" s="7">
        <f t="shared" si="1"/>
        <v>195</v>
      </c>
      <c r="H21" s="7">
        <f>E12+E14+E17</f>
        <v>74</v>
      </c>
      <c r="I21" s="9">
        <f t="shared" ref="I21:I23" si="4">F21/H21</f>
        <v>1.8108108108108107</v>
      </c>
      <c r="J21" s="13">
        <f>I21/C7</f>
        <v>0.90540540540540537</v>
      </c>
      <c r="K21" s="12">
        <f>F21/G21</f>
        <v>0.68717948717948718</v>
      </c>
      <c r="L21" s="2"/>
    </row>
    <row r="22" spans="1:12" ht="18">
      <c r="A22" s="2"/>
      <c r="B22" s="8" t="str">
        <f t="shared" si="2"/>
        <v>Chas</v>
      </c>
      <c r="C22" s="7">
        <v>47</v>
      </c>
      <c r="D22" s="7">
        <v>42</v>
      </c>
      <c r="E22" s="7">
        <v>53</v>
      </c>
      <c r="F22" s="7">
        <f t="shared" si="3"/>
        <v>142</v>
      </c>
      <c r="G22" s="7">
        <f t="shared" si="1"/>
        <v>159</v>
      </c>
      <c r="H22" s="7">
        <f>E12+E15+E16</f>
        <v>85</v>
      </c>
      <c r="I22" s="9">
        <f t="shared" si="4"/>
        <v>1.6705882352941177</v>
      </c>
      <c r="J22" s="13">
        <f>I22/C8</f>
        <v>1.0149381745407764</v>
      </c>
      <c r="K22" s="12">
        <f>F22/G22</f>
        <v>0.89308176100628933</v>
      </c>
      <c r="L22" s="2"/>
    </row>
    <row r="23" spans="1:12" ht="18">
      <c r="A23" s="2"/>
      <c r="B23" s="8" t="str">
        <f t="shared" si="2"/>
        <v>Jacques</v>
      </c>
      <c r="C23" s="7">
        <v>70</v>
      </c>
      <c r="D23" s="7">
        <v>70</v>
      </c>
      <c r="E23" s="7">
        <v>70</v>
      </c>
      <c r="F23" s="7">
        <f t="shared" si="3"/>
        <v>210</v>
      </c>
      <c r="G23" s="7">
        <f t="shared" si="1"/>
        <v>210</v>
      </c>
      <c r="H23" s="7">
        <f>E13+E14+E16</f>
        <v>90</v>
      </c>
      <c r="I23" s="9">
        <f t="shared" si="4"/>
        <v>2.3333333333333335</v>
      </c>
      <c r="J23" s="13">
        <f>I23/C9</f>
        <v>0.99290780141843971</v>
      </c>
      <c r="K23" s="12">
        <f>F23/G23</f>
        <v>1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5">
    <mergeCell ref="E4:H4"/>
    <mergeCell ref="A11:B11"/>
    <mergeCell ref="C11:D11"/>
    <mergeCell ref="F11:G11"/>
    <mergeCell ref="H11:I11"/>
  </mergeCells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XFD1048576"/>
    </sheetView>
  </sheetViews>
  <sheetFormatPr baseColWidth="10" defaultColWidth="8.83203125" defaultRowHeight="15" x14ac:dyDescent="0"/>
  <cols>
    <col min="1" max="1" width="20" bestFit="1" customWidth="1"/>
    <col min="2" max="2" width="14.33203125" bestFit="1" customWidth="1"/>
    <col min="6" max="6" width="9.6640625" bestFit="1" customWidth="1"/>
  </cols>
  <sheetData>
    <row r="1" spans="1:14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4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4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4" ht="18">
      <c r="A4" s="5" t="s">
        <v>147</v>
      </c>
      <c r="B4" s="2"/>
      <c r="C4" s="3"/>
      <c r="D4" s="6" t="s">
        <v>14</v>
      </c>
      <c r="E4" s="54" t="s">
        <v>19</v>
      </c>
      <c r="F4" s="54"/>
      <c r="G4" s="54"/>
      <c r="H4" s="54"/>
      <c r="I4" s="2"/>
      <c r="J4" s="2"/>
      <c r="K4" s="22" t="s">
        <v>94</v>
      </c>
      <c r="L4" s="23"/>
      <c r="M4" s="24"/>
      <c r="N4" s="25"/>
    </row>
    <row r="5" spans="1:14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14" t="s">
        <v>95</v>
      </c>
      <c r="L5" s="15" t="s">
        <v>105</v>
      </c>
      <c r="M5" s="16"/>
      <c r="N5" s="17"/>
    </row>
    <row r="6" spans="1:14" ht="18">
      <c r="A6" s="8" t="s">
        <v>67</v>
      </c>
      <c r="B6" s="8" t="s">
        <v>68</v>
      </c>
      <c r="C6" s="7">
        <v>1.3120000000000001</v>
      </c>
      <c r="D6" s="7">
        <v>44</v>
      </c>
      <c r="E6" s="7">
        <v>12</v>
      </c>
      <c r="F6" s="7">
        <v>8</v>
      </c>
      <c r="G6" s="7">
        <v>8</v>
      </c>
      <c r="H6" s="6">
        <f>SUM(E6:G6)</f>
        <v>28</v>
      </c>
      <c r="I6" s="6">
        <v>3</v>
      </c>
      <c r="J6" s="2"/>
      <c r="K6" s="18" t="s">
        <v>97</v>
      </c>
      <c r="L6" s="19" t="s">
        <v>106</v>
      </c>
      <c r="M6" s="20"/>
      <c r="N6" s="21"/>
    </row>
    <row r="7" spans="1:14" ht="18">
      <c r="A7" s="8" t="s">
        <v>67</v>
      </c>
      <c r="B7" s="8" t="s">
        <v>69</v>
      </c>
      <c r="C7" s="9">
        <v>1.107</v>
      </c>
      <c r="D7" s="7">
        <v>38</v>
      </c>
      <c r="E7" s="7">
        <v>5</v>
      </c>
      <c r="F7" s="7">
        <v>12</v>
      </c>
      <c r="G7" s="7">
        <v>8</v>
      </c>
      <c r="H7" s="6">
        <f t="shared" ref="H7:H9" si="0">SUM(E7:G7)</f>
        <v>25</v>
      </c>
      <c r="I7" s="6">
        <v>4</v>
      </c>
      <c r="J7" s="2"/>
      <c r="K7" s="2"/>
      <c r="L7" s="2"/>
    </row>
    <row r="8" spans="1:14" ht="18">
      <c r="A8" s="8" t="s">
        <v>70</v>
      </c>
      <c r="B8" s="8" t="s">
        <v>71</v>
      </c>
      <c r="C8" s="7">
        <v>1.2490000000000001</v>
      </c>
      <c r="D8" s="7">
        <v>41</v>
      </c>
      <c r="E8" s="7">
        <v>5</v>
      </c>
      <c r="F8" s="7">
        <v>12</v>
      </c>
      <c r="G8" s="7">
        <v>12</v>
      </c>
      <c r="H8" s="6">
        <f t="shared" si="0"/>
        <v>29</v>
      </c>
      <c r="I8" s="6">
        <v>2</v>
      </c>
      <c r="J8" s="2"/>
      <c r="K8" s="2"/>
      <c r="L8" s="2"/>
    </row>
    <row r="9" spans="1:14" ht="18">
      <c r="A9" s="8" t="s">
        <v>72</v>
      </c>
      <c r="B9" s="8" t="s">
        <v>73</v>
      </c>
      <c r="C9" s="7">
        <v>1.2010000000000001</v>
      </c>
      <c r="D9" s="7">
        <v>41</v>
      </c>
      <c r="E9" s="7">
        <v>12</v>
      </c>
      <c r="F9" s="7">
        <v>8</v>
      </c>
      <c r="G9" s="7">
        <v>12</v>
      </c>
      <c r="H9" s="6">
        <f t="shared" si="0"/>
        <v>32</v>
      </c>
      <c r="I9" s="6">
        <v>1</v>
      </c>
      <c r="J9" s="2"/>
      <c r="K9" s="2"/>
      <c r="L9" s="2"/>
    </row>
    <row r="10" spans="1:14" ht="18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4" ht="18">
      <c r="A11" s="49" t="s">
        <v>13</v>
      </c>
      <c r="B11" s="50"/>
      <c r="C11" s="51" t="s">
        <v>16</v>
      </c>
      <c r="D11" s="52"/>
      <c r="E11" s="6" t="s">
        <v>26</v>
      </c>
      <c r="F11" s="51" t="s">
        <v>17</v>
      </c>
      <c r="G11" s="52"/>
      <c r="H11" s="51" t="s">
        <v>18</v>
      </c>
      <c r="I11" s="52"/>
      <c r="J11" s="2"/>
      <c r="K11" s="2"/>
      <c r="L11" s="2"/>
    </row>
    <row r="12" spans="1:14" ht="18">
      <c r="A12" s="8" t="s">
        <v>76</v>
      </c>
      <c r="B12" s="8" t="s">
        <v>70</v>
      </c>
      <c r="C12" s="7">
        <v>44</v>
      </c>
      <c r="D12" s="7">
        <v>23</v>
      </c>
      <c r="E12" s="7">
        <v>31</v>
      </c>
      <c r="F12" s="7">
        <v>12</v>
      </c>
      <c r="G12" s="7">
        <v>5</v>
      </c>
      <c r="H12" s="10">
        <v>1</v>
      </c>
      <c r="I12" s="10">
        <f>23/41</f>
        <v>0.56097560975609762</v>
      </c>
      <c r="J12" s="2"/>
      <c r="K12" s="2"/>
      <c r="L12" s="2"/>
    </row>
    <row r="13" spans="1:14" ht="18">
      <c r="A13" s="8" t="s">
        <v>76</v>
      </c>
      <c r="B13" s="8" t="s">
        <v>72</v>
      </c>
      <c r="C13" s="7">
        <v>38</v>
      </c>
      <c r="D13" s="7">
        <v>41</v>
      </c>
      <c r="E13" s="7">
        <v>33</v>
      </c>
      <c r="F13" s="7">
        <v>8</v>
      </c>
      <c r="G13" s="7">
        <v>12</v>
      </c>
      <c r="H13" s="10">
        <f>38/44</f>
        <v>0.86363636363636365</v>
      </c>
      <c r="I13" s="10">
        <v>1</v>
      </c>
      <c r="J13" s="2"/>
      <c r="K13" s="2"/>
      <c r="L13" s="2"/>
    </row>
    <row r="14" spans="1:14" ht="18">
      <c r="A14" s="8" t="s">
        <v>75</v>
      </c>
      <c r="B14" s="8" t="s">
        <v>70</v>
      </c>
      <c r="C14" s="7">
        <v>21</v>
      </c>
      <c r="D14" s="7">
        <v>41</v>
      </c>
      <c r="E14" s="7">
        <v>15</v>
      </c>
      <c r="F14" s="7">
        <v>5</v>
      </c>
      <c r="G14" s="7">
        <v>12</v>
      </c>
      <c r="H14" s="10">
        <f>21/38</f>
        <v>0.55263157894736847</v>
      </c>
      <c r="I14" s="10">
        <v>1</v>
      </c>
      <c r="J14" s="2"/>
      <c r="K14" s="2"/>
      <c r="L14" s="2"/>
    </row>
    <row r="15" spans="1:14" ht="18">
      <c r="A15" s="8" t="s">
        <v>72</v>
      </c>
      <c r="B15" s="8" t="s">
        <v>70</v>
      </c>
      <c r="C15" s="7">
        <v>33</v>
      </c>
      <c r="D15" s="7">
        <v>41</v>
      </c>
      <c r="E15" s="7">
        <v>25</v>
      </c>
      <c r="F15" s="7">
        <v>8</v>
      </c>
      <c r="G15" s="7">
        <v>12</v>
      </c>
      <c r="H15" s="10">
        <f>33/41</f>
        <v>0.80487804878048785</v>
      </c>
      <c r="I15" s="10">
        <v>1</v>
      </c>
      <c r="J15" s="2"/>
      <c r="K15" s="2"/>
      <c r="L15" s="2"/>
    </row>
    <row r="16" spans="1:14" ht="18">
      <c r="A16" s="8" t="s">
        <v>75</v>
      </c>
      <c r="B16" s="8" t="s">
        <v>76</v>
      </c>
      <c r="C16" s="7">
        <v>38</v>
      </c>
      <c r="D16" s="7">
        <v>39</v>
      </c>
      <c r="E16" s="7">
        <v>29</v>
      </c>
      <c r="F16" s="7">
        <v>12</v>
      </c>
      <c r="G16" s="7">
        <v>8</v>
      </c>
      <c r="H16" s="10">
        <v>1</v>
      </c>
      <c r="I16" s="10">
        <f>39/44</f>
        <v>0.88636363636363635</v>
      </c>
      <c r="J16" s="2"/>
      <c r="K16" s="2"/>
      <c r="L16" s="2"/>
    </row>
    <row r="17" spans="1:12" ht="18">
      <c r="A17" s="8" t="s">
        <v>75</v>
      </c>
      <c r="B17" s="8" t="s">
        <v>72</v>
      </c>
      <c r="C17" s="7">
        <v>32</v>
      </c>
      <c r="D17" s="7">
        <v>41</v>
      </c>
      <c r="E17" s="7">
        <v>23</v>
      </c>
      <c r="F17" s="7">
        <v>8</v>
      </c>
      <c r="G17" s="7">
        <v>12</v>
      </c>
      <c r="H17" s="10">
        <f>32/38</f>
        <v>0.84210526315789469</v>
      </c>
      <c r="I17" s="10">
        <v>1</v>
      </c>
      <c r="J17" s="2"/>
      <c r="K17" s="2"/>
      <c r="L17" s="2"/>
    </row>
    <row r="18" spans="1:12" ht="18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>
      <c r="A20" s="2"/>
      <c r="B20" s="8" t="s">
        <v>74</v>
      </c>
      <c r="C20" s="7">
        <v>44</v>
      </c>
      <c r="D20" s="7">
        <v>38</v>
      </c>
      <c r="E20" s="7">
        <v>39</v>
      </c>
      <c r="F20" s="7">
        <f>SUM(C20:E20)</f>
        <v>121</v>
      </c>
      <c r="G20" s="7">
        <f t="shared" ref="G20:G23" si="1">3*D6</f>
        <v>132</v>
      </c>
      <c r="H20" s="7">
        <f>E12+E13+E16</f>
        <v>93</v>
      </c>
      <c r="I20" s="9">
        <f>F20/H20</f>
        <v>1.3010752688172043</v>
      </c>
      <c r="J20" s="13">
        <f>I20/C6</f>
        <v>0.99167322318384465</v>
      </c>
      <c r="K20" s="12">
        <f>F20/G20</f>
        <v>0.91666666666666663</v>
      </c>
      <c r="L20" s="2"/>
    </row>
    <row r="21" spans="1:12" ht="18">
      <c r="A21" s="2"/>
      <c r="B21" s="8" t="s">
        <v>75</v>
      </c>
      <c r="C21" s="7">
        <v>21</v>
      </c>
      <c r="D21" s="7">
        <v>38</v>
      </c>
      <c r="E21" s="7">
        <v>32</v>
      </c>
      <c r="F21" s="7">
        <f t="shared" ref="F21:F23" si="2">SUM(C21:E21)</f>
        <v>91</v>
      </c>
      <c r="G21" s="7">
        <f t="shared" si="1"/>
        <v>114</v>
      </c>
      <c r="H21" s="7">
        <f>E14+E16+E17</f>
        <v>67</v>
      </c>
      <c r="I21" s="9">
        <f t="shared" ref="I21:I23" si="3">F21/H21</f>
        <v>1.3582089552238805</v>
      </c>
      <c r="J21" s="13">
        <f>I21/C7</f>
        <v>1.2269276921624936</v>
      </c>
      <c r="K21" s="12">
        <f>F21/G21</f>
        <v>0.79824561403508776</v>
      </c>
      <c r="L21" s="2"/>
    </row>
    <row r="22" spans="1:12" ht="18">
      <c r="A22" s="2"/>
      <c r="B22" s="8" t="str">
        <f t="shared" ref="B22:B23" si="4">A8</f>
        <v>Nick</v>
      </c>
      <c r="C22" s="7">
        <v>23</v>
      </c>
      <c r="D22" s="7">
        <v>41</v>
      </c>
      <c r="E22" s="7">
        <v>41</v>
      </c>
      <c r="F22" s="7">
        <f t="shared" si="2"/>
        <v>105</v>
      </c>
      <c r="G22" s="7">
        <f t="shared" si="1"/>
        <v>123</v>
      </c>
      <c r="H22" s="7">
        <f>E12+E15+E16</f>
        <v>85</v>
      </c>
      <c r="I22" s="9">
        <f t="shared" si="3"/>
        <v>1.2352941176470589</v>
      </c>
      <c r="J22" s="13">
        <f>I22/C8</f>
        <v>0.98902651532991093</v>
      </c>
      <c r="K22" s="12">
        <f>F22/G22</f>
        <v>0.85365853658536583</v>
      </c>
      <c r="L22" s="2"/>
    </row>
    <row r="23" spans="1:12" ht="18">
      <c r="A23" s="2"/>
      <c r="B23" s="8" t="str">
        <f t="shared" si="4"/>
        <v>Yoeri</v>
      </c>
      <c r="C23" s="7">
        <v>41</v>
      </c>
      <c r="D23" s="7">
        <v>33</v>
      </c>
      <c r="E23" s="7">
        <v>41</v>
      </c>
      <c r="F23" s="7">
        <f t="shared" si="2"/>
        <v>115</v>
      </c>
      <c r="G23" s="7">
        <f t="shared" si="1"/>
        <v>123</v>
      </c>
      <c r="H23" s="7">
        <f>E13+E15+E17</f>
        <v>81</v>
      </c>
      <c r="I23" s="9">
        <f t="shared" si="3"/>
        <v>1.4197530864197532</v>
      </c>
      <c r="J23" s="13">
        <f>I23/C9</f>
        <v>1.182142453305373</v>
      </c>
      <c r="K23" s="12">
        <f>F23/G23</f>
        <v>0.93495934959349591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5">
    <mergeCell ref="E4:H4"/>
    <mergeCell ref="A11:B11"/>
    <mergeCell ref="C11:D11"/>
    <mergeCell ref="F11:G11"/>
    <mergeCell ref="H11:I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XFD1048576"/>
    </sheetView>
  </sheetViews>
  <sheetFormatPr baseColWidth="10" defaultColWidth="8.83203125" defaultRowHeight="15" x14ac:dyDescent="0"/>
  <cols>
    <col min="1" max="1" width="20" bestFit="1" customWidth="1"/>
    <col min="2" max="2" width="14.33203125" bestFit="1" customWidth="1"/>
    <col min="6" max="6" width="9.6640625" bestFit="1" customWidth="1"/>
  </cols>
  <sheetData>
    <row r="1" spans="1:14" ht="18">
      <c r="A1" s="1" t="s">
        <v>0</v>
      </c>
      <c r="B1" s="2"/>
      <c r="C1" s="3"/>
      <c r="D1" s="3"/>
      <c r="E1" s="3"/>
      <c r="F1" s="3"/>
      <c r="G1" s="3"/>
      <c r="H1" s="3"/>
      <c r="I1" s="2"/>
      <c r="J1" s="2"/>
      <c r="K1" s="2"/>
      <c r="L1" s="2"/>
    </row>
    <row r="2" spans="1:14" ht="18">
      <c r="A2" s="2" t="s">
        <v>1</v>
      </c>
      <c r="B2" s="4">
        <v>45032</v>
      </c>
      <c r="C2" s="3"/>
      <c r="D2" s="3"/>
      <c r="E2" s="3"/>
      <c r="F2" s="3"/>
      <c r="G2" s="3"/>
      <c r="H2" s="3"/>
      <c r="I2" s="2"/>
      <c r="J2" s="2"/>
      <c r="K2" s="2"/>
      <c r="L2" s="2"/>
    </row>
    <row r="3" spans="1:14" ht="18">
      <c r="A3" s="2"/>
      <c r="B3" s="2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4" ht="18">
      <c r="A4" s="5" t="s">
        <v>147</v>
      </c>
      <c r="B4" s="2"/>
      <c r="C4" s="3"/>
      <c r="D4" s="6" t="s">
        <v>14</v>
      </c>
      <c r="E4" s="54" t="s">
        <v>19</v>
      </c>
      <c r="F4" s="54"/>
      <c r="G4" s="54"/>
      <c r="H4" s="54"/>
      <c r="I4" s="2"/>
      <c r="J4" s="2"/>
      <c r="K4" s="22" t="s">
        <v>94</v>
      </c>
      <c r="L4" s="23"/>
      <c r="M4" s="24"/>
      <c r="N4" s="25"/>
    </row>
    <row r="5" spans="1:14" ht="18">
      <c r="A5" s="5" t="s">
        <v>2</v>
      </c>
      <c r="B5" s="5" t="s">
        <v>3</v>
      </c>
      <c r="C5" s="6" t="s">
        <v>4</v>
      </c>
      <c r="D5" s="6" t="s">
        <v>15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25</v>
      </c>
      <c r="J5" s="2"/>
      <c r="K5" s="14" t="s">
        <v>95</v>
      </c>
      <c r="L5" s="15" t="s">
        <v>107</v>
      </c>
      <c r="M5" s="16"/>
      <c r="N5" s="17"/>
    </row>
    <row r="6" spans="1:14" ht="18">
      <c r="A6" s="8" t="s">
        <v>77</v>
      </c>
      <c r="B6" s="8" t="s">
        <v>78</v>
      </c>
      <c r="C6" s="7">
        <v>1.2410000000000001</v>
      </c>
      <c r="D6" s="7">
        <v>41</v>
      </c>
      <c r="E6" s="7">
        <v>9</v>
      </c>
      <c r="F6" s="7">
        <v>8</v>
      </c>
      <c r="G6" s="7">
        <v>12</v>
      </c>
      <c r="H6" s="6">
        <f>SUM(E6:G6)</f>
        <v>29</v>
      </c>
      <c r="I6" s="6">
        <v>3</v>
      </c>
      <c r="J6" s="2"/>
      <c r="K6" s="18" t="s">
        <v>97</v>
      </c>
      <c r="L6" s="19" t="s">
        <v>108</v>
      </c>
      <c r="M6" s="20"/>
      <c r="N6" s="21"/>
    </row>
    <row r="7" spans="1:14" ht="18">
      <c r="A7" s="8" t="s">
        <v>79</v>
      </c>
      <c r="B7" s="8" t="s">
        <v>47</v>
      </c>
      <c r="C7" s="9">
        <v>1.246</v>
      </c>
      <c r="D7" s="7">
        <v>41</v>
      </c>
      <c r="E7" s="7">
        <v>12</v>
      </c>
      <c r="F7" s="7">
        <v>7</v>
      </c>
      <c r="G7" s="7">
        <v>6</v>
      </c>
      <c r="H7" s="6">
        <f t="shared" ref="H7:H9" si="0">SUM(E7:G7)</f>
        <v>25</v>
      </c>
      <c r="I7" s="6">
        <v>4</v>
      </c>
      <c r="J7" s="2"/>
      <c r="K7" s="2"/>
      <c r="L7" s="2"/>
    </row>
    <row r="8" spans="1:14" ht="18">
      <c r="A8" s="8" t="s">
        <v>80</v>
      </c>
      <c r="B8" s="8" t="s">
        <v>81</v>
      </c>
      <c r="C8" s="7">
        <v>1.216</v>
      </c>
      <c r="D8" s="7">
        <v>41</v>
      </c>
      <c r="E8" s="7">
        <v>6</v>
      </c>
      <c r="F8" s="7">
        <v>12</v>
      </c>
      <c r="G8" s="7">
        <v>12</v>
      </c>
      <c r="H8" s="6">
        <f t="shared" si="0"/>
        <v>30</v>
      </c>
      <c r="I8" s="6">
        <v>2</v>
      </c>
      <c r="J8" s="2"/>
      <c r="K8" s="2"/>
      <c r="L8" s="2"/>
    </row>
    <row r="9" spans="1:14" ht="18">
      <c r="A9" s="8" t="s">
        <v>82</v>
      </c>
      <c r="B9" s="8" t="s">
        <v>83</v>
      </c>
      <c r="C9" s="7">
        <v>0.98</v>
      </c>
      <c r="D9" s="7">
        <v>33</v>
      </c>
      <c r="E9" s="7">
        <v>12</v>
      </c>
      <c r="F9" s="7">
        <v>7</v>
      </c>
      <c r="G9" s="7">
        <v>12</v>
      </c>
      <c r="H9" s="6">
        <f t="shared" si="0"/>
        <v>31</v>
      </c>
      <c r="I9" s="6">
        <v>1</v>
      </c>
      <c r="J9" s="2"/>
      <c r="K9" s="2"/>
      <c r="L9" s="2"/>
    </row>
    <row r="10" spans="1:14" ht="18">
      <c r="A10" s="2"/>
      <c r="B10" s="2"/>
      <c r="C10" s="3"/>
      <c r="D10" s="3"/>
      <c r="E10" s="3"/>
      <c r="F10" s="3"/>
      <c r="G10" s="3"/>
      <c r="H10" s="3"/>
      <c r="I10" s="2"/>
      <c r="J10" s="2"/>
      <c r="K10" s="2"/>
      <c r="L10" s="2" t="s">
        <v>50</v>
      </c>
    </row>
    <row r="11" spans="1:14" ht="18">
      <c r="A11" s="49" t="s">
        <v>13</v>
      </c>
      <c r="B11" s="50"/>
      <c r="C11" s="51" t="s">
        <v>16</v>
      </c>
      <c r="D11" s="52"/>
      <c r="E11" s="6" t="s">
        <v>26</v>
      </c>
      <c r="F11" s="51" t="s">
        <v>17</v>
      </c>
      <c r="G11" s="52"/>
      <c r="H11" s="51" t="s">
        <v>18</v>
      </c>
      <c r="I11" s="52"/>
      <c r="J11" s="2"/>
      <c r="K11" s="2"/>
      <c r="L11" s="2"/>
    </row>
    <row r="12" spans="1:14" ht="18">
      <c r="A12" s="8" t="s">
        <v>79</v>
      </c>
      <c r="B12" s="8" t="s">
        <v>84</v>
      </c>
      <c r="C12" s="7">
        <v>41</v>
      </c>
      <c r="D12" s="7">
        <v>25</v>
      </c>
      <c r="E12" s="7">
        <v>35</v>
      </c>
      <c r="F12" s="7">
        <v>12</v>
      </c>
      <c r="G12" s="7">
        <v>6</v>
      </c>
      <c r="H12" s="10">
        <v>1</v>
      </c>
      <c r="I12" s="10">
        <f>25/41</f>
        <v>0.6097560975609756</v>
      </c>
      <c r="J12" s="2"/>
      <c r="K12" s="2"/>
      <c r="L12" s="2"/>
    </row>
    <row r="13" spans="1:14" ht="18">
      <c r="A13" s="8" t="s">
        <v>77</v>
      </c>
      <c r="B13" s="8" t="s">
        <v>82</v>
      </c>
      <c r="C13" s="7">
        <v>38</v>
      </c>
      <c r="D13" s="7">
        <v>33</v>
      </c>
      <c r="E13" s="7">
        <v>32</v>
      </c>
      <c r="F13" s="7">
        <v>9</v>
      </c>
      <c r="G13" s="7">
        <v>12</v>
      </c>
      <c r="H13" s="10">
        <f>38/41</f>
        <v>0.92682926829268297</v>
      </c>
      <c r="I13" s="10">
        <v>1</v>
      </c>
      <c r="J13" s="2"/>
      <c r="K13" s="2"/>
      <c r="L13" s="2"/>
    </row>
    <row r="14" spans="1:14" ht="18">
      <c r="A14" s="8" t="s">
        <v>82</v>
      </c>
      <c r="B14" s="8" t="s">
        <v>84</v>
      </c>
      <c r="C14" s="7">
        <v>24</v>
      </c>
      <c r="D14" s="7">
        <v>41</v>
      </c>
      <c r="E14" s="7">
        <v>30</v>
      </c>
      <c r="F14" s="7">
        <v>7</v>
      </c>
      <c r="G14" s="7">
        <v>12</v>
      </c>
      <c r="H14" s="10">
        <f>24/33</f>
        <v>0.72727272727272729</v>
      </c>
      <c r="I14" s="10">
        <v>1</v>
      </c>
      <c r="J14" s="2"/>
      <c r="K14" s="2"/>
      <c r="L14" s="2"/>
    </row>
    <row r="15" spans="1:14" ht="18">
      <c r="A15" s="8" t="s">
        <v>77</v>
      </c>
      <c r="B15" s="8" t="s">
        <v>84</v>
      </c>
      <c r="C15" s="7">
        <v>33</v>
      </c>
      <c r="D15" s="7">
        <v>41</v>
      </c>
      <c r="E15" s="7">
        <v>36</v>
      </c>
      <c r="F15" s="7">
        <v>8</v>
      </c>
      <c r="G15" s="7">
        <v>12</v>
      </c>
      <c r="H15" s="10">
        <f>33/41</f>
        <v>0.80487804878048785</v>
      </c>
      <c r="I15" s="10">
        <v>1</v>
      </c>
      <c r="J15" s="2"/>
      <c r="K15" s="2"/>
      <c r="L15" s="2"/>
    </row>
    <row r="16" spans="1:14" ht="18">
      <c r="A16" s="8" t="s">
        <v>79</v>
      </c>
      <c r="B16" s="8" t="s">
        <v>82</v>
      </c>
      <c r="C16" s="7">
        <v>32</v>
      </c>
      <c r="D16" s="7">
        <v>33</v>
      </c>
      <c r="E16" s="7">
        <v>30</v>
      </c>
      <c r="F16" s="7">
        <v>7</v>
      </c>
      <c r="G16" s="7">
        <v>12</v>
      </c>
      <c r="H16" s="10">
        <f>32/41</f>
        <v>0.78048780487804881</v>
      </c>
      <c r="I16" s="10">
        <v>1</v>
      </c>
      <c r="J16" s="2"/>
      <c r="K16" s="2"/>
      <c r="L16" s="2"/>
    </row>
    <row r="17" spans="1:12" ht="18">
      <c r="A17" s="8" t="s">
        <v>79</v>
      </c>
      <c r="B17" s="8" t="s">
        <v>77</v>
      </c>
      <c r="C17" s="7">
        <v>28</v>
      </c>
      <c r="D17" s="7">
        <v>41</v>
      </c>
      <c r="E17" s="7">
        <v>32</v>
      </c>
      <c r="F17" s="7">
        <v>6</v>
      </c>
      <c r="G17" s="7">
        <v>12</v>
      </c>
      <c r="H17" s="10">
        <f>28/41</f>
        <v>0.68292682926829273</v>
      </c>
      <c r="I17" s="10">
        <v>1</v>
      </c>
      <c r="J17" s="2"/>
      <c r="K17" s="2"/>
      <c r="L17" s="2"/>
    </row>
    <row r="18" spans="1:12" ht="18">
      <c r="A18" s="2"/>
      <c r="B18" s="2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ht="18">
      <c r="A19" s="2"/>
      <c r="B19" s="2"/>
      <c r="C19" s="6" t="s">
        <v>20</v>
      </c>
      <c r="D19" s="6" t="s">
        <v>21</v>
      </c>
      <c r="E19" s="6" t="s">
        <v>22</v>
      </c>
      <c r="F19" s="6" t="s">
        <v>23</v>
      </c>
      <c r="G19" s="6" t="s">
        <v>37</v>
      </c>
      <c r="H19" s="6" t="s">
        <v>26</v>
      </c>
      <c r="I19" s="6" t="s">
        <v>38</v>
      </c>
      <c r="J19" s="6" t="s">
        <v>36</v>
      </c>
      <c r="K19" s="6" t="s">
        <v>18</v>
      </c>
      <c r="L19" s="2"/>
    </row>
    <row r="20" spans="1:12" ht="18">
      <c r="A20" s="2"/>
      <c r="B20" s="8" t="s">
        <v>77</v>
      </c>
      <c r="C20" s="7">
        <v>38</v>
      </c>
      <c r="D20" s="7">
        <v>33</v>
      </c>
      <c r="E20" s="7">
        <v>41</v>
      </c>
      <c r="F20" s="7">
        <f>SUM(C20:E20)</f>
        <v>112</v>
      </c>
      <c r="G20" s="7">
        <f t="shared" ref="G20:G23" si="1">3*D6</f>
        <v>123</v>
      </c>
      <c r="H20" s="7">
        <f>E13+E15+E17</f>
        <v>100</v>
      </c>
      <c r="I20" s="9">
        <f>F20/H20</f>
        <v>1.1200000000000001</v>
      </c>
      <c r="J20" s="13">
        <f>I20/C6</f>
        <v>0.90249798549556814</v>
      </c>
      <c r="K20" s="12">
        <f>F20/G20</f>
        <v>0.91056910569105687</v>
      </c>
      <c r="L20" s="2"/>
    </row>
    <row r="21" spans="1:12" ht="18">
      <c r="A21" s="2"/>
      <c r="B21" s="8" t="s">
        <v>79</v>
      </c>
      <c r="C21" s="7">
        <v>41</v>
      </c>
      <c r="D21" s="7">
        <v>32</v>
      </c>
      <c r="E21" s="7">
        <v>28</v>
      </c>
      <c r="F21" s="7">
        <f t="shared" ref="F21:F23" si="2">SUM(C21:E21)</f>
        <v>101</v>
      </c>
      <c r="G21" s="7">
        <f t="shared" si="1"/>
        <v>123</v>
      </c>
      <c r="H21" s="7">
        <f>E12+E16+E17</f>
        <v>97</v>
      </c>
      <c r="I21" s="9">
        <f t="shared" ref="I21:I23" si="3">F21/H21</f>
        <v>1.0412371134020619</v>
      </c>
      <c r="J21" s="13">
        <f>I21/C7</f>
        <v>0.83566381492942365</v>
      </c>
      <c r="K21" s="12">
        <f>F21/G21</f>
        <v>0.82113821138211385</v>
      </c>
      <c r="L21" s="2"/>
    </row>
    <row r="22" spans="1:12" ht="18">
      <c r="A22" s="2"/>
      <c r="B22" s="8" t="s">
        <v>80</v>
      </c>
      <c r="C22" s="7">
        <v>25</v>
      </c>
      <c r="D22" s="7">
        <v>41</v>
      </c>
      <c r="E22" s="7">
        <v>41</v>
      </c>
      <c r="F22" s="7">
        <f t="shared" si="2"/>
        <v>107</v>
      </c>
      <c r="G22" s="7">
        <f t="shared" si="1"/>
        <v>123</v>
      </c>
      <c r="H22" s="7">
        <f>E12+E14+E15</f>
        <v>101</v>
      </c>
      <c r="I22" s="9">
        <f t="shared" si="3"/>
        <v>1.0594059405940595</v>
      </c>
      <c r="J22" s="13">
        <f>I22/C8</f>
        <v>0.87122199062011474</v>
      </c>
      <c r="K22" s="12">
        <f>F22/G22</f>
        <v>0.86991869918699183</v>
      </c>
      <c r="L22" s="2"/>
    </row>
    <row r="23" spans="1:12" ht="18">
      <c r="A23" s="2"/>
      <c r="B23" s="8" t="s">
        <v>82</v>
      </c>
      <c r="C23" s="7">
        <v>33</v>
      </c>
      <c r="D23" s="7">
        <v>24</v>
      </c>
      <c r="E23" s="7">
        <v>33</v>
      </c>
      <c r="F23" s="7">
        <f t="shared" si="2"/>
        <v>90</v>
      </c>
      <c r="G23" s="7">
        <f t="shared" si="1"/>
        <v>99</v>
      </c>
      <c r="H23" s="7">
        <f>E13+E15+E17</f>
        <v>100</v>
      </c>
      <c r="I23" s="9">
        <f t="shared" si="3"/>
        <v>0.9</v>
      </c>
      <c r="J23" s="13">
        <f>I23/C9</f>
        <v>0.91836734693877553</v>
      </c>
      <c r="K23" s="12">
        <f>F23/G23</f>
        <v>0.90909090909090906</v>
      </c>
      <c r="L23" s="2"/>
    </row>
    <row r="24" spans="1:12" ht="18">
      <c r="A24" s="2"/>
      <c r="B24" s="2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ht="18">
      <c r="A25" s="2"/>
      <c r="B25" s="2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ht="18">
      <c r="A26" s="2"/>
      <c r="B26" s="2"/>
      <c r="C26" s="3"/>
      <c r="D26" s="3"/>
      <c r="E26" s="3"/>
      <c r="F26" s="3"/>
      <c r="G26" s="3"/>
      <c r="H26" s="3"/>
      <c r="I26" s="2"/>
      <c r="J26" s="2"/>
      <c r="K26" s="2"/>
      <c r="L26" s="2"/>
    </row>
  </sheetData>
  <mergeCells count="5">
    <mergeCell ref="E4:H4"/>
    <mergeCell ref="A11:B11"/>
    <mergeCell ref="C11:D11"/>
    <mergeCell ref="F11:G11"/>
    <mergeCell ref="H11:I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Finale 12</vt:lpstr>
      <vt:lpstr>Finale 345</vt:lpstr>
      <vt:lpstr>Voorronde einstand</vt:lpstr>
      <vt:lpstr>Poule A 345</vt:lpstr>
      <vt:lpstr>Poule B 345</vt:lpstr>
      <vt:lpstr>Poule C 345</vt:lpstr>
      <vt:lpstr>Poule D 345</vt:lpstr>
      <vt:lpstr>Poule A 12</vt:lpstr>
      <vt:lpstr>Poule B 12</vt:lpstr>
      <vt:lpstr>Poule C 12</vt:lpstr>
      <vt:lpstr>Poule D 12</vt:lpstr>
    </vt:vector>
  </TitlesOfParts>
  <Company>Inframatica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Kramer</dc:creator>
  <cp:lastModifiedBy>Ray Kramer</cp:lastModifiedBy>
  <cp:lastPrinted>2023-04-22T10:02:36Z</cp:lastPrinted>
  <dcterms:created xsi:type="dcterms:W3CDTF">2023-04-16T09:28:54Z</dcterms:created>
  <dcterms:modified xsi:type="dcterms:W3CDTF">2023-05-15T17:47:20Z</dcterms:modified>
</cp:coreProperties>
</file>